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autoCompressPictures="0"/>
  <mc:AlternateContent xmlns:mc="http://schemas.openxmlformats.org/markup-compatibility/2006">
    <mc:Choice Requires="x15">
      <x15ac:absPath xmlns:x15ac="http://schemas.microsoft.com/office/spreadsheetml/2010/11/ac" url="N:\ADMIN\PDF\BGADDFY25\12-June\HB 189 Report\"/>
    </mc:Choice>
  </mc:AlternateContent>
  <xr:revisionPtr revIDLastSave="0" documentId="13_ncr:1_{1B0B6874-4EF1-4A26-8F2B-97544AE0C965}" xr6:coauthVersionLast="47" xr6:coauthVersionMax="47" xr10:uidLastSave="{00000000-0000-0000-0000-000000000000}"/>
  <bookViews>
    <workbookView xWindow="-120" yWindow="-120" windowWidth="29040" windowHeight="15840" activeTab="3" xr2:uid="{00000000-000D-0000-FFFF-FFFF00000000}"/>
  </bookViews>
  <sheets>
    <sheet name="Overall" sheetId="1" r:id="rId1"/>
    <sheet name="Aging" sheetId="2" r:id="rId2"/>
    <sheet name="Workforce" sheetId="3" r:id="rId3"/>
    <sheet name="Carryover (Reserves)" sheetId="4" r:id="rId4"/>
    <sheet name="Glossary" sheetId="5" r:id="rId5"/>
  </sheets>
  <externalReferences>
    <externalReference r:id="rId6"/>
    <externalReference r:id="rId7"/>
  </externalReferences>
  <definedNames>
    <definedName name="_xlnm.Print_Area" localSheetId="1">Aging!$A$1:$AC$28</definedName>
    <definedName name="_xlnm.Print_Area" localSheetId="4">Glossary!$A$1:$M$30</definedName>
    <definedName name="_xlnm.Print_Area" localSheetId="0">Overall!$A$1:$AX$37</definedName>
    <definedName name="_xlnm.Print_Titles" localSheetId="1">Aging!$A:$A</definedName>
    <definedName name="_xlnm.Print_Titles" localSheetId="0">Overall!$A:$A</definedName>
    <definedName name="_xlnm.Print_Titles" localSheetId="2">Workforce!$A:$A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W12" i="1" l="1"/>
  <c r="AV12" i="1"/>
  <c r="AU12" i="1"/>
  <c r="AS12" i="1"/>
  <c r="AR12" i="1"/>
  <c r="AQ12" i="1"/>
  <c r="AO12" i="1"/>
  <c r="AN12" i="1"/>
  <c r="AM12" i="1"/>
  <c r="AK12" i="1"/>
  <c r="AI12" i="1"/>
  <c r="AG12" i="1"/>
  <c r="AF12" i="1"/>
  <c r="AE12" i="1"/>
  <c r="AC12" i="1"/>
  <c r="AJ11" i="1"/>
  <c r="AW10" i="1"/>
  <c r="AS10" i="1"/>
  <c r="AO10" i="1"/>
  <c r="AK10" i="1"/>
  <c r="AG10" i="1"/>
  <c r="AC10" i="1"/>
  <c r="AJ9" i="1"/>
  <c r="AV7" i="1"/>
  <c r="AV9" i="1" s="1"/>
  <c r="AV10" i="1" s="1"/>
  <c r="AU7" i="1"/>
  <c r="AU9" i="1" s="1"/>
  <c r="AU10" i="1" s="1"/>
  <c r="AT7" i="1"/>
  <c r="AT9" i="1" s="1"/>
  <c r="AT10" i="1" s="1"/>
  <c r="AW6" i="1"/>
  <c r="AW13" i="1" s="1"/>
  <c r="AV6" i="1"/>
  <c r="AV13" i="1" s="1"/>
  <c r="AU6" i="1"/>
  <c r="AU13" i="1" s="1"/>
  <c r="AT6" i="1"/>
  <c r="AT12" i="1" s="1"/>
  <c r="AS6" i="1"/>
  <c r="AS13" i="1" s="1"/>
  <c r="AR6" i="1"/>
  <c r="AR10" i="1" s="1"/>
  <c r="AQ6" i="1"/>
  <c r="AQ10" i="1" s="1"/>
  <c r="AP6" i="1"/>
  <c r="AP12" i="1" s="1"/>
  <c r="AO6" i="1"/>
  <c r="AO13" i="1" s="1"/>
  <c r="AN6" i="1"/>
  <c r="AN10" i="1" s="1"/>
  <c r="AM6" i="1"/>
  <c r="AM10" i="1" s="1"/>
  <c r="AL6" i="1"/>
  <c r="AL12" i="1" s="1"/>
  <c r="AK6" i="1"/>
  <c r="AK13" i="1" s="1"/>
  <c r="AI6" i="1"/>
  <c r="AI10" i="1" s="1"/>
  <c r="AH6" i="1"/>
  <c r="AH12" i="1" s="1"/>
  <c r="AG6" i="1"/>
  <c r="AG13" i="1" s="1"/>
  <c r="AF6" i="1"/>
  <c r="AF10" i="1" s="1"/>
  <c r="AE6" i="1"/>
  <c r="AE10" i="1" s="1"/>
  <c r="AD6" i="1"/>
  <c r="AD12" i="1" s="1"/>
  <c r="AC6" i="1"/>
  <c r="AC13" i="1" s="1"/>
  <c r="AJ4" i="1"/>
  <c r="AJ6" i="1" s="1"/>
  <c r="E32" i="1"/>
  <c r="E33" i="1" s="1"/>
  <c r="B32" i="1"/>
  <c r="F33" i="1"/>
  <c r="H32" i="1"/>
  <c r="S33" i="1"/>
  <c r="Y32" i="1"/>
  <c r="W32" i="1"/>
  <c r="Z7" i="1"/>
  <c r="S5" i="1"/>
  <c r="S11" i="1"/>
  <c r="S7" i="1"/>
  <c r="P13" i="1"/>
  <c r="P7" i="1"/>
  <c r="O7" i="1"/>
  <c r="N7" i="1"/>
  <c r="N11" i="1"/>
  <c r="H7" i="1"/>
  <c r="E13" i="1"/>
  <c r="F7" i="1"/>
  <c r="D5" i="1"/>
  <c r="E5" i="1"/>
  <c r="E7" i="1"/>
  <c r="D7" i="1"/>
  <c r="B7" i="1"/>
  <c r="B11" i="1"/>
  <c r="B5" i="1"/>
  <c r="B4" i="1"/>
  <c r="R14" i="1"/>
  <c r="AJ12" i="1" l="1"/>
  <c r="AJ13" i="1"/>
  <c r="AJ8" i="1"/>
  <c r="AJ10" i="1"/>
  <c r="AD8" i="1"/>
  <c r="AH8" i="1"/>
  <c r="AL8" i="1"/>
  <c r="AP8" i="1"/>
  <c r="AT8" i="1"/>
  <c r="AD13" i="1"/>
  <c r="AH13" i="1"/>
  <c r="AL13" i="1"/>
  <c r="AP13" i="1"/>
  <c r="AT13" i="1"/>
  <c r="AE8" i="1"/>
  <c r="AI8" i="1"/>
  <c r="AM8" i="1"/>
  <c r="AQ8" i="1"/>
  <c r="AU8" i="1"/>
  <c r="AD10" i="1"/>
  <c r="AH10" i="1"/>
  <c r="AL10" i="1"/>
  <c r="AP10" i="1"/>
  <c r="AE13" i="1"/>
  <c r="AI13" i="1"/>
  <c r="AM13" i="1"/>
  <c r="AQ13" i="1"/>
  <c r="AF8" i="1"/>
  <c r="AN8" i="1"/>
  <c r="AR8" i="1"/>
  <c r="AV8" i="1"/>
  <c r="AF13" i="1"/>
  <c r="AN13" i="1"/>
  <c r="AR13" i="1"/>
  <c r="AC8" i="1"/>
  <c r="AG8" i="1"/>
  <c r="AK8" i="1"/>
  <c r="AO8" i="1"/>
  <c r="AS8" i="1"/>
  <c r="AW8" i="1"/>
  <c r="X33" i="1"/>
  <c r="V33" i="1"/>
  <c r="T33" i="1"/>
  <c r="O33" i="1"/>
  <c r="Y33" i="1"/>
  <c r="W33" i="1"/>
  <c r="M22" i="1"/>
  <c r="M21" i="1"/>
  <c r="M20" i="1"/>
  <c r="T14" i="1"/>
  <c r="AA12" i="1"/>
  <c r="AA10" i="1"/>
  <c r="AA8" i="1"/>
  <c r="AA6" i="1"/>
  <c r="AA13" i="1" s="1"/>
  <c r="Z6" i="1"/>
  <c r="Y6" i="1"/>
  <c r="X6" i="1"/>
  <c r="X10" i="1" s="1"/>
  <c r="W6" i="1"/>
  <c r="V6" i="1"/>
  <c r="V12" i="1" s="1"/>
  <c r="U6" i="1"/>
  <c r="U10" i="1" s="1"/>
  <c r="T6" i="1"/>
  <c r="T12" i="1" s="1"/>
  <c r="R6" i="1"/>
  <c r="Q6" i="1"/>
  <c r="Q10" i="1" s="1"/>
  <c r="P6" i="1"/>
  <c r="P12" i="1" s="1"/>
  <c r="O6" i="1"/>
  <c r="M6" i="1"/>
  <c r="M10" i="1" s="1"/>
  <c r="S6" i="1"/>
  <c r="N6" i="1"/>
  <c r="AB6" i="1"/>
  <c r="AB8" i="1" s="1"/>
  <c r="AB13" i="1"/>
  <c r="L6" i="1"/>
  <c r="K6" i="1"/>
  <c r="F34" i="1"/>
  <c r="H33" i="1"/>
  <c r="G33" i="1"/>
  <c r="D33" i="1"/>
  <c r="B33" i="1"/>
  <c r="J6" i="1"/>
  <c r="I6" i="1"/>
  <c r="I12" i="1" s="1"/>
  <c r="H6" i="1"/>
  <c r="G6" i="1"/>
  <c r="F6" i="1"/>
  <c r="E6" i="1"/>
  <c r="D6" i="1"/>
  <c r="C6" i="1"/>
  <c r="B6" i="1"/>
  <c r="O13" i="1" l="1"/>
  <c r="O12" i="1"/>
  <c r="O10" i="1"/>
  <c r="O8" i="1"/>
  <c r="Z12" i="1"/>
  <c r="Z10" i="1"/>
  <c r="W12" i="1"/>
  <c r="W8" i="1"/>
  <c r="W9" i="1"/>
  <c r="S8" i="1"/>
  <c r="R12" i="1"/>
  <c r="R9" i="1"/>
  <c r="R10" i="1" s="1"/>
  <c r="Q8" i="1"/>
  <c r="J9" i="1"/>
  <c r="J12" i="1"/>
  <c r="J8" i="1"/>
  <c r="H10" i="1"/>
  <c r="H13" i="1"/>
  <c r="H12" i="1"/>
  <c r="H8" i="1"/>
  <c r="G10" i="1"/>
  <c r="G13" i="1"/>
  <c r="G12" i="1"/>
  <c r="G8" i="1"/>
  <c r="F13" i="1"/>
  <c r="F12" i="1"/>
  <c r="F8" i="1"/>
  <c r="D8" i="1"/>
  <c r="N8" i="1"/>
  <c r="S13" i="1"/>
  <c r="S10" i="1"/>
  <c r="S12" i="1"/>
  <c r="N12" i="1"/>
  <c r="N10" i="1"/>
  <c r="N13" i="1"/>
  <c r="P8" i="1"/>
  <c r="X12" i="1"/>
  <c r="M8" i="1"/>
  <c r="U8" i="1"/>
  <c r="Y8" i="1"/>
  <c r="T9" i="1"/>
  <c r="T10" i="1" s="1"/>
  <c r="Y9" i="1"/>
  <c r="Y10" i="1" s="1"/>
  <c r="P10" i="1"/>
  <c r="M12" i="1"/>
  <c r="Q12" i="1"/>
  <c r="U12" i="1"/>
  <c r="Y12" i="1"/>
  <c r="R13" i="1"/>
  <c r="X13" i="1"/>
  <c r="T8" i="1"/>
  <c r="X8" i="1"/>
  <c r="M13" i="1"/>
  <c r="Q13" i="1"/>
  <c r="U13" i="1"/>
  <c r="R8" i="1"/>
  <c r="V8" i="1"/>
  <c r="AB12" i="1"/>
  <c r="AB10" i="1"/>
  <c r="K9" i="1"/>
  <c r="K10" i="1" s="1"/>
  <c r="K12" i="1"/>
  <c r="L12" i="1"/>
  <c r="K8" i="1"/>
  <c r="L9" i="1"/>
  <c r="L10" i="1" s="1"/>
  <c r="L8" i="1"/>
  <c r="B13" i="1"/>
  <c r="B10" i="1"/>
  <c r="B12" i="1"/>
  <c r="B8" i="1"/>
  <c r="E12" i="1"/>
  <c r="E10" i="1"/>
  <c r="C9" i="1"/>
  <c r="C10" i="1" s="1"/>
  <c r="C12" i="1"/>
  <c r="C8" i="1"/>
  <c r="E8" i="1"/>
  <c r="D10" i="1"/>
  <c r="D12" i="1"/>
  <c r="D13" i="1"/>
  <c r="F10" i="1"/>
  <c r="I9" i="1"/>
  <c r="I8" i="1"/>
  <c r="J10" i="1" l="1"/>
  <c r="J13" i="1"/>
  <c r="Z8" i="1"/>
  <c r="Z13" i="1"/>
  <c r="W13" i="1"/>
  <c r="W10" i="1"/>
  <c r="V10" i="1"/>
  <c r="V13" i="1"/>
  <c r="I10" i="1"/>
  <c r="I13" i="1"/>
  <c r="Y13" i="1"/>
  <c r="T13" i="1"/>
  <c r="K13" i="1"/>
  <c r="L13" i="1"/>
  <c r="C13" i="1"/>
  <c r="F24" i="2" l="1"/>
  <c r="F25" i="2"/>
  <c r="F26" i="2"/>
  <c r="F28" i="2"/>
  <c r="F18" i="2"/>
  <c r="F16" i="2"/>
  <c r="F3" i="2"/>
  <c r="F4" i="2"/>
  <c r="F5" i="2"/>
  <c r="F6" i="2"/>
  <c r="F7" i="2"/>
  <c r="F8" i="2"/>
  <c r="F9" i="2"/>
  <c r="F10" i="2"/>
  <c r="F11" i="2"/>
  <c r="F12" i="2"/>
  <c r="F13" i="2"/>
  <c r="F14" i="2"/>
  <c r="E4" i="2"/>
  <c r="AX4" i="1" l="1"/>
  <c r="Z24" i="2" l="1"/>
  <c r="Z25" i="2"/>
  <c r="Z26" i="2"/>
  <c r="Z18" i="2"/>
  <c r="Z16" i="2"/>
  <c r="Z14" i="2"/>
  <c r="Z4" i="2"/>
  <c r="Z5" i="2"/>
  <c r="Z7" i="2"/>
  <c r="Z9" i="2"/>
  <c r="Z11" i="2"/>
  <c r="Z13" i="2"/>
  <c r="Z6" i="2" l="1"/>
  <c r="Z8" i="2"/>
  <c r="Z10" i="2"/>
  <c r="Z12" i="2"/>
  <c r="AX5" i="1" l="1"/>
  <c r="E26" i="3" l="1"/>
  <c r="D26" i="3"/>
  <c r="C26" i="3"/>
  <c r="B26" i="3"/>
  <c r="C34" i="3"/>
  <c r="B34" i="3"/>
  <c r="B11" i="3"/>
  <c r="G28" i="2"/>
  <c r="G26" i="2"/>
  <c r="G25" i="2"/>
  <c r="G24" i="2"/>
  <c r="G18" i="2"/>
  <c r="G16" i="2"/>
  <c r="G14" i="2"/>
  <c r="G13" i="2"/>
  <c r="G12" i="2"/>
  <c r="G11" i="2"/>
  <c r="G10" i="2"/>
  <c r="G9" i="2"/>
  <c r="G8" i="2"/>
  <c r="G7" i="2"/>
  <c r="G6" i="2"/>
  <c r="G5" i="2"/>
  <c r="G4" i="2"/>
  <c r="C12" i="4"/>
  <c r="U4" i="2"/>
  <c r="V4" i="2"/>
  <c r="X4" i="2"/>
  <c r="U5" i="2"/>
  <c r="V5" i="2"/>
  <c r="X5" i="2"/>
  <c r="U6" i="2"/>
  <c r="U7" i="2"/>
  <c r="V7" i="2"/>
  <c r="X7" i="2"/>
  <c r="U8" i="2"/>
  <c r="U9" i="2"/>
  <c r="V9" i="2"/>
  <c r="X9" i="2"/>
  <c r="U10" i="2"/>
  <c r="U11" i="2"/>
  <c r="V11" i="2"/>
  <c r="X11" i="2"/>
  <c r="U12" i="2"/>
  <c r="U13" i="2"/>
  <c r="U14" i="2"/>
  <c r="V14" i="2"/>
  <c r="X14" i="2"/>
  <c r="U16" i="2"/>
  <c r="V16" i="2"/>
  <c r="X16" i="2"/>
  <c r="U18" i="2"/>
  <c r="V18" i="2"/>
  <c r="X18" i="2"/>
  <c r="V19" i="2"/>
  <c r="X19" i="2"/>
  <c r="V20" i="2"/>
  <c r="X20" i="2"/>
  <c r="V21" i="2"/>
  <c r="X21" i="2"/>
  <c r="V22" i="2"/>
  <c r="X22" i="2"/>
  <c r="U24" i="2"/>
  <c r="V24" i="2"/>
  <c r="W24" i="2"/>
  <c r="X24" i="2"/>
  <c r="U25" i="2"/>
  <c r="V25" i="2"/>
  <c r="W25" i="2"/>
  <c r="X25" i="2"/>
  <c r="U26" i="2"/>
  <c r="V26" i="2"/>
  <c r="W26" i="2"/>
  <c r="X26" i="2"/>
  <c r="U28" i="2"/>
  <c r="V28" i="2"/>
  <c r="W28" i="2"/>
  <c r="X28" i="2"/>
  <c r="M24" i="2"/>
  <c r="M25" i="2"/>
  <c r="M26" i="2"/>
  <c r="M28" i="2"/>
  <c r="M18" i="2"/>
  <c r="M16" i="2"/>
  <c r="M14" i="2"/>
  <c r="M4" i="2"/>
  <c r="M5" i="2"/>
  <c r="M6" i="2"/>
  <c r="M7" i="2"/>
  <c r="M8" i="2"/>
  <c r="M9" i="2"/>
  <c r="M10" i="2"/>
  <c r="M11" i="2"/>
  <c r="M12" i="2"/>
  <c r="M13" i="2"/>
  <c r="E6" i="3"/>
  <c r="D7" i="3"/>
  <c r="E7" i="3"/>
  <c r="C9" i="3"/>
  <c r="D9" i="3"/>
  <c r="E9" i="3"/>
  <c r="C11" i="3"/>
  <c r="D11" i="3"/>
  <c r="E11" i="3"/>
  <c r="AW37" i="1"/>
  <c r="AV37" i="1"/>
  <c r="AU37" i="1"/>
  <c r="AT37" i="1"/>
  <c r="E31" i="3"/>
  <c r="D31" i="3"/>
  <c r="C31" i="3"/>
  <c r="B31" i="3"/>
  <c r="E30" i="3"/>
  <c r="D30" i="3"/>
  <c r="B30" i="3"/>
  <c r="AW28" i="1"/>
  <c r="E29" i="3" s="1"/>
  <c r="E3" i="3"/>
  <c r="B28" i="2"/>
  <c r="C5" i="2"/>
  <c r="D5" i="2"/>
  <c r="E5" i="2"/>
  <c r="H5" i="2"/>
  <c r="I5" i="2"/>
  <c r="J5" i="2"/>
  <c r="K5" i="2"/>
  <c r="L5" i="2"/>
  <c r="N5" i="2"/>
  <c r="O5" i="2"/>
  <c r="P5" i="2"/>
  <c r="Q5" i="2"/>
  <c r="R5" i="2"/>
  <c r="S5" i="2"/>
  <c r="T5" i="2"/>
  <c r="AA5" i="2"/>
  <c r="H13" i="2"/>
  <c r="L13" i="2"/>
  <c r="Q13" i="2"/>
  <c r="T6" i="2"/>
  <c r="B5" i="2"/>
  <c r="B6" i="2"/>
  <c r="C5" i="3"/>
  <c r="D5" i="3"/>
  <c r="E5" i="3"/>
  <c r="B5" i="3"/>
  <c r="A5" i="3"/>
  <c r="A6" i="3"/>
  <c r="A5" i="2"/>
  <c r="A6" i="2"/>
  <c r="K13" i="2"/>
  <c r="E12" i="2"/>
  <c r="K12" i="2"/>
  <c r="I10" i="2"/>
  <c r="E8" i="2"/>
  <c r="P8" i="2"/>
  <c r="B12" i="2"/>
  <c r="C27" i="3"/>
  <c r="D27" i="3"/>
  <c r="E27" i="3"/>
  <c r="C28" i="3"/>
  <c r="D28" i="3"/>
  <c r="E28" i="3"/>
  <c r="C29" i="3"/>
  <c r="D29" i="3"/>
  <c r="C30" i="3"/>
  <c r="B28" i="3"/>
  <c r="B29" i="3"/>
  <c r="B27" i="3"/>
  <c r="A27" i="3"/>
  <c r="E25" i="3"/>
  <c r="D25" i="3"/>
  <c r="C25" i="3"/>
  <c r="B25" i="3"/>
  <c r="A25" i="3"/>
  <c r="A33" i="3"/>
  <c r="A34" i="3"/>
  <c r="A35" i="3"/>
  <c r="E37" i="3"/>
  <c r="D37" i="3"/>
  <c r="C37" i="3"/>
  <c r="B37" i="3"/>
  <c r="E35" i="3"/>
  <c r="D35" i="3"/>
  <c r="C35" i="3"/>
  <c r="B35" i="3"/>
  <c r="E34" i="3"/>
  <c r="D34" i="3"/>
  <c r="E33" i="3"/>
  <c r="D33" i="3"/>
  <c r="C33" i="3"/>
  <c r="B33" i="3"/>
  <c r="E19" i="3"/>
  <c r="D19" i="3"/>
  <c r="C19" i="3"/>
  <c r="B19" i="3"/>
  <c r="E18" i="3"/>
  <c r="D18" i="3"/>
  <c r="C18" i="3"/>
  <c r="B18" i="3"/>
  <c r="E16" i="3"/>
  <c r="D16" i="3"/>
  <c r="C16" i="3"/>
  <c r="B16" i="3"/>
  <c r="E14" i="3"/>
  <c r="D14" i="3"/>
  <c r="C14" i="3"/>
  <c r="B14" i="3"/>
  <c r="E4" i="3"/>
  <c r="C4" i="3"/>
  <c r="AA28" i="2"/>
  <c r="Z28" i="2"/>
  <c r="Y28" i="2"/>
  <c r="T28" i="2"/>
  <c r="S28" i="2"/>
  <c r="R28" i="2"/>
  <c r="Q28" i="2"/>
  <c r="P28" i="2"/>
  <c r="O28" i="2"/>
  <c r="N28" i="2"/>
  <c r="L28" i="2"/>
  <c r="K28" i="2"/>
  <c r="J28" i="2"/>
  <c r="I28" i="2"/>
  <c r="H28" i="2"/>
  <c r="E28" i="2"/>
  <c r="D28" i="2"/>
  <c r="C28" i="2"/>
  <c r="AA26" i="2"/>
  <c r="Y26" i="2"/>
  <c r="T26" i="2"/>
  <c r="S26" i="2"/>
  <c r="R26" i="2"/>
  <c r="Q26" i="2"/>
  <c r="P26" i="2"/>
  <c r="O26" i="2"/>
  <c r="N26" i="2"/>
  <c r="L26" i="2"/>
  <c r="K26" i="2"/>
  <c r="J26" i="2"/>
  <c r="I26" i="2"/>
  <c r="H26" i="2"/>
  <c r="E26" i="2"/>
  <c r="D26" i="2"/>
  <c r="C26" i="2"/>
  <c r="B26" i="2"/>
  <c r="AA25" i="2"/>
  <c r="Y25" i="2"/>
  <c r="T25" i="2"/>
  <c r="S25" i="2"/>
  <c r="R25" i="2"/>
  <c r="Q25" i="2"/>
  <c r="P25" i="2"/>
  <c r="O25" i="2"/>
  <c r="N25" i="2"/>
  <c r="L25" i="2"/>
  <c r="K25" i="2"/>
  <c r="J25" i="2"/>
  <c r="I25" i="2"/>
  <c r="H25" i="2"/>
  <c r="E25" i="2"/>
  <c r="D25" i="2"/>
  <c r="C25" i="2"/>
  <c r="B25" i="2"/>
  <c r="AA24" i="2"/>
  <c r="Y24" i="2"/>
  <c r="T24" i="2"/>
  <c r="S24" i="2"/>
  <c r="R24" i="2"/>
  <c r="Q24" i="2"/>
  <c r="P24" i="2"/>
  <c r="O24" i="2"/>
  <c r="N24" i="2"/>
  <c r="L24" i="2"/>
  <c r="K24" i="2"/>
  <c r="J24" i="2"/>
  <c r="I24" i="2"/>
  <c r="H24" i="2"/>
  <c r="E24" i="2"/>
  <c r="D24" i="2"/>
  <c r="C24" i="2"/>
  <c r="B24" i="2"/>
  <c r="N22" i="2"/>
  <c r="N21" i="2"/>
  <c r="N20" i="2"/>
  <c r="N19" i="2"/>
  <c r="AA18" i="2"/>
  <c r="T18" i="2"/>
  <c r="S18" i="2"/>
  <c r="R18" i="2"/>
  <c r="Q18" i="2"/>
  <c r="P18" i="2"/>
  <c r="O18" i="2"/>
  <c r="N18" i="2"/>
  <c r="L18" i="2"/>
  <c r="K18" i="2"/>
  <c r="J18" i="2"/>
  <c r="I18" i="2"/>
  <c r="H18" i="2"/>
  <c r="E18" i="2"/>
  <c r="D18" i="2"/>
  <c r="C18" i="2"/>
  <c r="B18" i="2"/>
  <c r="AA16" i="2"/>
  <c r="T16" i="2"/>
  <c r="S16" i="2"/>
  <c r="R16" i="2"/>
  <c r="Q16" i="2"/>
  <c r="P16" i="2"/>
  <c r="O16" i="2"/>
  <c r="N16" i="2"/>
  <c r="L16" i="2"/>
  <c r="K16" i="2"/>
  <c r="J16" i="2"/>
  <c r="I16" i="2"/>
  <c r="H16" i="2"/>
  <c r="E16" i="2"/>
  <c r="D16" i="2"/>
  <c r="C16" i="2"/>
  <c r="B16" i="2"/>
  <c r="AA14" i="2"/>
  <c r="T14" i="2"/>
  <c r="S14" i="2"/>
  <c r="R14" i="2"/>
  <c r="Q14" i="2"/>
  <c r="P14" i="2"/>
  <c r="O14" i="2"/>
  <c r="N14" i="2"/>
  <c r="L14" i="2"/>
  <c r="K14" i="2"/>
  <c r="J14" i="2"/>
  <c r="I14" i="2"/>
  <c r="H14" i="2"/>
  <c r="E14" i="2"/>
  <c r="D14" i="2"/>
  <c r="B14" i="2"/>
  <c r="AA11" i="2"/>
  <c r="T11" i="2"/>
  <c r="S11" i="2"/>
  <c r="R11" i="2"/>
  <c r="Q11" i="2"/>
  <c r="P11" i="2"/>
  <c r="O11" i="2"/>
  <c r="N11" i="2"/>
  <c r="L11" i="2"/>
  <c r="K11" i="2"/>
  <c r="J11" i="2"/>
  <c r="I11" i="2"/>
  <c r="H11" i="2"/>
  <c r="E11" i="2"/>
  <c r="D11" i="2"/>
  <c r="C11" i="2"/>
  <c r="B11" i="2"/>
  <c r="AA9" i="2"/>
  <c r="T9" i="2"/>
  <c r="S9" i="2"/>
  <c r="R9" i="2"/>
  <c r="Q9" i="2"/>
  <c r="P9" i="2"/>
  <c r="O9" i="2"/>
  <c r="N9" i="2"/>
  <c r="L9" i="2"/>
  <c r="K9" i="2"/>
  <c r="J9" i="2"/>
  <c r="I9" i="2"/>
  <c r="H9" i="2"/>
  <c r="E9" i="2"/>
  <c r="D9" i="2"/>
  <c r="C9" i="2"/>
  <c r="B9" i="2"/>
  <c r="AA7" i="2"/>
  <c r="T7" i="2"/>
  <c r="S7" i="2"/>
  <c r="R7" i="2"/>
  <c r="Q7" i="2"/>
  <c r="P7" i="2"/>
  <c r="O7" i="2"/>
  <c r="N7" i="2"/>
  <c r="L7" i="2"/>
  <c r="K7" i="2"/>
  <c r="J7" i="2"/>
  <c r="I7" i="2"/>
  <c r="H7" i="2"/>
  <c r="E7" i="2"/>
  <c r="D7" i="2"/>
  <c r="C7" i="2"/>
  <c r="B7" i="2"/>
  <c r="AA4" i="2"/>
  <c r="T4" i="2"/>
  <c r="S4" i="2"/>
  <c r="R4" i="2"/>
  <c r="Q4" i="2"/>
  <c r="P4" i="2"/>
  <c r="O4" i="2"/>
  <c r="N4" i="2"/>
  <c r="L4" i="2"/>
  <c r="K4" i="2"/>
  <c r="J4" i="2"/>
  <c r="I4" i="2"/>
  <c r="H4" i="2"/>
  <c r="D4" i="2"/>
  <c r="C4" i="2"/>
  <c r="B4" i="2"/>
  <c r="C14" i="2"/>
  <c r="AA3" i="2"/>
  <c r="C3" i="2"/>
  <c r="D3" i="2"/>
  <c r="E3" i="2"/>
  <c r="H3" i="2"/>
  <c r="I3" i="2"/>
  <c r="J3" i="2"/>
  <c r="K3" i="2"/>
  <c r="L3" i="2"/>
  <c r="N3" i="2"/>
  <c r="O3" i="2"/>
  <c r="P3" i="2"/>
  <c r="Q3" i="2"/>
  <c r="R3" i="2"/>
  <c r="S3" i="2"/>
  <c r="B3" i="2"/>
  <c r="A28" i="2"/>
  <c r="A25" i="2"/>
  <c r="A26" i="2"/>
  <c r="A24" i="2"/>
  <c r="A18" i="2"/>
  <c r="A16" i="2"/>
  <c r="A14" i="2"/>
  <c r="A13" i="2"/>
  <c r="A12" i="2"/>
  <c r="A7" i="2"/>
  <c r="A8" i="2"/>
  <c r="A9" i="2"/>
  <c r="A10" i="2"/>
  <c r="A11" i="2"/>
  <c r="A4" i="2"/>
  <c r="A37" i="3"/>
  <c r="A18" i="3"/>
  <c r="A16" i="3"/>
  <c r="A13" i="3"/>
  <c r="A14" i="3"/>
  <c r="A7" i="3"/>
  <c r="A8" i="3"/>
  <c r="A9" i="3"/>
  <c r="A10" i="3"/>
  <c r="A11" i="3"/>
  <c r="A12" i="3"/>
  <c r="A4" i="3"/>
  <c r="P13" i="2"/>
  <c r="T13" i="2"/>
  <c r="P12" i="2"/>
  <c r="T12" i="2"/>
  <c r="O10" i="2"/>
  <c r="S10" i="2"/>
  <c r="T10" i="2"/>
  <c r="T8" i="2"/>
  <c r="K8" i="2"/>
  <c r="C3" i="3"/>
  <c r="D3" i="3"/>
  <c r="B3" i="3"/>
  <c r="B13" i="2"/>
  <c r="E13" i="2"/>
  <c r="B10" i="2"/>
  <c r="B8" i="2"/>
  <c r="D10" i="2"/>
  <c r="J10" i="2"/>
  <c r="Y7" i="2"/>
  <c r="X6" i="2"/>
  <c r="W4" i="2"/>
  <c r="Y4" i="2"/>
  <c r="V3" i="2"/>
  <c r="X3" i="2"/>
  <c r="Z3" i="2"/>
  <c r="W3" i="2"/>
  <c r="Y3" i="2"/>
  <c r="W5" i="2"/>
  <c r="W6" i="2"/>
  <c r="Y8" i="2"/>
  <c r="Y6" i="2"/>
  <c r="Y5" i="2"/>
  <c r="Y16" i="2"/>
  <c r="Y18" i="2"/>
  <c r="W18" i="2"/>
  <c r="Y14" i="2"/>
  <c r="W14" i="2"/>
  <c r="W16" i="2"/>
  <c r="W8" i="2"/>
  <c r="W7" i="2"/>
  <c r="W9" i="2"/>
  <c r="W11" i="2"/>
  <c r="W13" i="2"/>
  <c r="Y9" i="2"/>
  <c r="Y13" i="2"/>
  <c r="Y11" i="2"/>
  <c r="AC4" i="2" l="1"/>
  <c r="C6" i="3"/>
  <c r="C12" i="3"/>
  <c r="C10" i="3"/>
  <c r="C8" i="3"/>
  <c r="G11" i="3"/>
  <c r="G5" i="3"/>
  <c r="E13" i="3"/>
  <c r="AC11" i="2"/>
  <c r="D4" i="3"/>
  <c r="E12" i="3"/>
  <c r="AC5" i="2"/>
  <c r="AC7" i="2"/>
  <c r="E8" i="3"/>
  <c r="E10" i="3"/>
  <c r="AC9" i="2"/>
  <c r="AX11" i="1"/>
  <c r="R6" i="2"/>
  <c r="R13" i="2"/>
  <c r="R12" i="2"/>
  <c r="R8" i="2"/>
  <c r="I6" i="2"/>
  <c r="I13" i="2"/>
  <c r="I12" i="2"/>
  <c r="I8" i="2"/>
  <c r="V13" i="2"/>
  <c r="V8" i="2"/>
  <c r="V6" i="2"/>
  <c r="V12" i="2"/>
  <c r="V10" i="2"/>
  <c r="AA8" i="2"/>
  <c r="AA12" i="2"/>
  <c r="AA6" i="2"/>
  <c r="AA13" i="2"/>
  <c r="R10" i="2"/>
  <c r="P6" i="2"/>
  <c r="P10" i="2"/>
  <c r="K6" i="2"/>
  <c r="K10" i="2"/>
  <c r="E6" i="2"/>
  <c r="E10" i="2"/>
  <c r="AA10" i="2"/>
  <c r="X13" i="2"/>
  <c r="X8" i="2"/>
  <c r="X12" i="2"/>
  <c r="X10" i="2"/>
  <c r="N6" i="2"/>
  <c r="N13" i="2"/>
  <c r="N12" i="2"/>
  <c r="N8" i="2"/>
  <c r="C6" i="2"/>
  <c r="C13" i="2"/>
  <c r="C12" i="2"/>
  <c r="C8" i="2"/>
  <c r="D6" i="3"/>
  <c r="D12" i="3"/>
  <c r="D10" i="3"/>
  <c r="C10" i="2"/>
  <c r="N10" i="2"/>
  <c r="D13" i="3"/>
  <c r="C13" i="3"/>
  <c r="C7" i="3"/>
  <c r="D8" i="3"/>
  <c r="B4" i="3"/>
  <c r="S8" i="2"/>
  <c r="O8" i="2"/>
  <c r="J8" i="2"/>
  <c r="D8" i="2"/>
  <c r="Q10" i="2"/>
  <c r="L10" i="2"/>
  <c r="H10" i="2"/>
  <c r="S12" i="2"/>
  <c r="O12" i="2"/>
  <c r="J12" i="2"/>
  <c r="D12" i="2"/>
  <c r="S13" i="2"/>
  <c r="O13" i="2"/>
  <c r="J13" i="2"/>
  <c r="D13" i="2"/>
  <c r="S6" i="2"/>
  <c r="Q6" i="2"/>
  <c r="O6" i="2"/>
  <c r="L6" i="2"/>
  <c r="J6" i="2"/>
  <c r="H6" i="2"/>
  <c r="D6" i="2"/>
  <c r="Q8" i="2"/>
  <c r="L8" i="2"/>
  <c r="H8" i="2"/>
  <c r="Q12" i="2"/>
  <c r="L12" i="2"/>
  <c r="H12" i="2"/>
  <c r="M19" i="2"/>
  <c r="Y10" i="2"/>
  <c r="W10" i="2"/>
  <c r="W12" i="2"/>
  <c r="Y12" i="2"/>
  <c r="U3" i="2"/>
  <c r="T3" i="2"/>
  <c r="G4" i="3" l="1"/>
  <c r="AX6" i="1"/>
  <c r="AX12" i="1" s="1"/>
  <c r="AC6" i="2"/>
  <c r="AC12" i="2" s="1"/>
  <c r="AC13" i="2"/>
  <c r="B12" i="3"/>
  <c r="B6" i="3"/>
  <c r="G6" i="3" s="1"/>
  <c r="M3" i="2"/>
  <c r="AC10" i="2" l="1"/>
  <c r="AC8" i="2"/>
  <c r="G12" i="3"/>
  <c r="M22" i="2"/>
  <c r="M21" i="2"/>
  <c r="M20" i="2"/>
  <c r="AX7" i="1" l="1"/>
  <c r="AX8" i="1" s="1"/>
  <c r="B7" i="3"/>
  <c r="G7" i="3" s="1"/>
  <c r="G8" i="3" s="1"/>
  <c r="B8" i="3"/>
  <c r="B9" i="3"/>
  <c r="G9" i="3" s="1"/>
  <c r="G10" i="3" s="1"/>
  <c r="B10" i="3"/>
  <c r="B13" i="3" l="1"/>
  <c r="G13" i="3" s="1"/>
  <c r="AX9" i="1"/>
  <c r="AX10" i="1" s="1"/>
  <c r="AX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Buschmann</author>
  </authors>
  <commentList>
    <comment ref="AT7" authorId="0" shapeId="0" xr:uid="{3675F747-8993-4659-831E-87E94EF05486}">
      <text>
        <r>
          <rPr>
            <b/>
            <sz val="9"/>
            <color indexed="81"/>
            <rFont val="Tahoma"/>
            <charset val="1"/>
          </rPr>
          <t>Michael Buschmann:</t>
        </r>
        <r>
          <rPr>
            <sz val="9"/>
            <color indexed="81"/>
            <rFont val="Tahoma"/>
            <charset val="1"/>
          </rPr>
          <t xml:space="preserve">
program expenses + contract expenses</t>
        </r>
      </text>
    </comment>
    <comment ref="AT9" authorId="0" shapeId="0" xr:uid="{7B9EE7AE-2B3B-4B77-84EE-91D838E364AE}">
      <text>
        <r>
          <rPr>
            <b/>
            <sz val="9"/>
            <color indexed="81"/>
            <rFont val="Tahoma"/>
            <charset val="1"/>
          </rPr>
          <t>Michael Buschmann:</t>
        </r>
        <r>
          <rPr>
            <sz val="9"/>
            <color indexed="81"/>
            <rFont val="Tahoma"/>
            <charset val="1"/>
          </rPr>
          <t xml:space="preserve">
Program expenses + contract expenses - expenses already captured in admin costs</t>
        </r>
      </text>
    </comment>
  </commentList>
</comments>
</file>

<file path=xl/sharedStrings.xml><?xml version="1.0" encoding="utf-8"?>
<sst xmlns="http://schemas.openxmlformats.org/spreadsheetml/2006/main" count="320" uniqueCount="177">
  <si>
    <t>Administrative Costs</t>
  </si>
  <si>
    <t>% of Admin Cost</t>
  </si>
  <si>
    <t>Direct Expenditures</t>
  </si>
  <si>
    <t>% of Direct Expenditures</t>
  </si>
  <si>
    <t>Indirect Expenditures</t>
  </si>
  <si>
    <t>% of Indirect Expenditures</t>
  </si>
  <si>
    <t>Unexpended Funds</t>
  </si>
  <si>
    <t>Explanation of Unexpended Funds</t>
  </si>
  <si>
    <t>Eligible Persons</t>
  </si>
  <si>
    <t># Persons Served</t>
  </si>
  <si>
    <t># People on Waiting List</t>
  </si>
  <si>
    <t>Performance Measures</t>
  </si>
  <si>
    <t>Title III B</t>
  </si>
  <si>
    <t>Title III C1</t>
  </si>
  <si>
    <t>Title III C2</t>
  </si>
  <si>
    <t>Title III E</t>
  </si>
  <si>
    <t>Title III B Omb</t>
  </si>
  <si>
    <t>Title III Elder Abuse</t>
  </si>
  <si>
    <t>Title VII Ombudsman</t>
  </si>
  <si>
    <t>CDSME</t>
  </si>
  <si>
    <t>Title V</t>
  </si>
  <si>
    <t>Ky Caregiver</t>
  </si>
  <si>
    <t>FAST</t>
  </si>
  <si>
    <t>State Long Term Care Ombudsman</t>
  </si>
  <si>
    <t>Homecare</t>
  </si>
  <si>
    <t>SHIP</t>
  </si>
  <si>
    <t>Grant Award</t>
  </si>
  <si>
    <t>List of Direct Services provided by ADD</t>
  </si>
  <si>
    <t>as listed in MOA</t>
  </si>
  <si>
    <t>Local Road Updates</t>
  </si>
  <si>
    <t>Regional Transportation</t>
  </si>
  <si>
    <t>Hazard Mitigation</t>
  </si>
  <si>
    <t>Source of Funds:</t>
  </si>
  <si>
    <t>Interest Earned on Investments</t>
  </si>
  <si>
    <t>Local Contributions</t>
  </si>
  <si>
    <t>Explanation as to why funds are being carried forward:</t>
  </si>
  <si>
    <t>Amount</t>
  </si>
  <si>
    <t>Funds will be utilized for match requirements and agency needs not directly allocable to specific programs</t>
  </si>
  <si>
    <t>Surplus from Performance Based Contracts</t>
  </si>
  <si>
    <t>Performance based contracts are fee for service and any funds not utilized is carried forward for future services.</t>
  </si>
  <si>
    <t>WIOA Adult</t>
  </si>
  <si>
    <t>WIOA Youth</t>
  </si>
  <si>
    <t>WIOA Dislocated Worker</t>
  </si>
  <si>
    <t>Community &amp; Economic Development</t>
  </si>
  <si>
    <t>Multi-year Obligated Funds</t>
  </si>
  <si>
    <t>Training and Workforce Development</t>
  </si>
  <si>
    <t>Area Agency on Aging and Independent Living</t>
  </si>
  <si>
    <t>Direct Service Providers/Contractors Contracted by ADD and services provided</t>
  </si>
  <si>
    <t>Career Center Operators</t>
  </si>
  <si>
    <t>Training Service Providers and services provided</t>
  </si>
  <si>
    <t>Local Funds (Match or applied)</t>
  </si>
  <si>
    <t>Total Grant Funds</t>
  </si>
  <si>
    <t>Non Cash Pension Expense Adjustment to reflect agency's proportionate share of the net pension liability related to the County Employee Retirement System</t>
  </si>
  <si>
    <t>n/a</t>
  </si>
  <si>
    <t>Glossary &amp; Acronym List</t>
  </si>
  <si>
    <t>Support Services</t>
  </si>
  <si>
    <t>Congregate Meals</t>
  </si>
  <si>
    <t>Home Delivered Meals</t>
  </si>
  <si>
    <t>Title III D</t>
  </si>
  <si>
    <t>Disease Prevention</t>
  </si>
  <si>
    <t>Family Caregiver Program</t>
  </si>
  <si>
    <t>NSIP</t>
  </si>
  <si>
    <t>Nutrition Services Incentive Program</t>
  </si>
  <si>
    <t>Chronic Disease Self Management Education</t>
  </si>
  <si>
    <t>Senior Employment</t>
  </si>
  <si>
    <t>Functional Assessment Service Team</t>
  </si>
  <si>
    <t>State Health Insurance Assistance Program</t>
  </si>
  <si>
    <t>MIPPA SHIP</t>
  </si>
  <si>
    <t>Medicare Improvements for Patients and Providers Act State Health Insurance Assistance Program</t>
  </si>
  <si>
    <t>MIPPA AAA</t>
  </si>
  <si>
    <t>Medicare Improvements for Patients and Providers Act State Agencies on Aging</t>
  </si>
  <si>
    <t>MIPPA ADRC</t>
  </si>
  <si>
    <t>Medicare Improvements for Patients and Providers Act Aging and Disability Resource Center</t>
  </si>
  <si>
    <t>JFA - EDA</t>
  </si>
  <si>
    <t>Joint Funding Administration - Economic Development Administration</t>
  </si>
  <si>
    <t>JFA - CDBG</t>
  </si>
  <si>
    <t>Joint Funding Administration - Community Development Block Grants</t>
  </si>
  <si>
    <t>WIOA</t>
  </si>
  <si>
    <t>Workforce Innovation and Opportunity Act</t>
  </si>
  <si>
    <t>OET</t>
  </si>
  <si>
    <t>Kentucky Office of Employment &amp; Training</t>
  </si>
  <si>
    <t>DOL</t>
  </si>
  <si>
    <t>U.S. Department of Labor</t>
  </si>
  <si>
    <t>ADRC</t>
  </si>
  <si>
    <t>Aging Disability Resource Center</t>
  </si>
  <si>
    <t>Low Income Subsidy</t>
  </si>
  <si>
    <t>Medicare Savings Plan</t>
  </si>
  <si>
    <t>LIS</t>
  </si>
  <si>
    <t>MSP</t>
  </si>
  <si>
    <t>Bluegrass Area Development District</t>
  </si>
  <si>
    <t>Trade</t>
  </si>
  <si>
    <t>Joint Funding Administration - EDA</t>
  </si>
  <si>
    <t>Joint Funding Administration - ARC</t>
  </si>
  <si>
    <t>Joint Funding Administration - CDBG</t>
  </si>
  <si>
    <t>Joint Funding Administration -SPGE</t>
  </si>
  <si>
    <t>Joint Funding Administration - Public Admin</t>
  </si>
  <si>
    <t>Joint Funding Administration - Committees</t>
  </si>
  <si>
    <t>KY Infrastructure Authority - Water</t>
  </si>
  <si>
    <t>Procure/Purchase equipment based on contract.</t>
  </si>
  <si>
    <t>KOHS</t>
  </si>
  <si>
    <t>Kentucky Office of Homeland Security</t>
  </si>
  <si>
    <t>Rent</t>
  </si>
  <si>
    <t>Funds will be utilized for future building costs and agency needs not directly allocable to specific programs.</t>
  </si>
  <si>
    <t>JFA - ARC</t>
  </si>
  <si>
    <t>Joint Funding Administration - Appalachian Regional Commission</t>
  </si>
  <si>
    <t>SPGE</t>
  </si>
  <si>
    <t>Special Purpose Governmental Entity</t>
  </si>
  <si>
    <t>Program serves entire Bluegrass Region</t>
  </si>
  <si>
    <t>SOAR Implementation</t>
  </si>
  <si>
    <t>SOAR</t>
  </si>
  <si>
    <t>Shaping Our Appalachian Region</t>
  </si>
  <si>
    <t>Nursing Home Ombudsman Agency of the Bluegrass:  III-B Ombudsman Services</t>
  </si>
  <si>
    <t>ADRC, Information, Assistance, Counseling, Support Groups, Training</t>
  </si>
  <si>
    <t>Nursing Home Ombudsman Agency of the Bluegrass:  Elder Abuse services</t>
  </si>
  <si>
    <t>Nursing Home Ombudsman Agency of the Bluegrass:  TVII Ombudsman services</t>
  </si>
  <si>
    <t>Bluegrass CAP: Congregate and Home Delivered Meals (food cost only)</t>
  </si>
  <si>
    <t>Nursing Home Ombudsman Agency of the Bluegrass:  LTC Ombudsman services</t>
  </si>
  <si>
    <t>Northern KY Legal Aid of the Bluegrass:  SHIP services</t>
  </si>
  <si>
    <t>Northern KY Legal Aid of the Bluegrass: MIPPA-SHIP Services</t>
  </si>
  <si>
    <t>Northern KY Legal Aid of the Bluegrass: MIPPA-AAA Services</t>
  </si>
  <si>
    <t>I&amp;A</t>
  </si>
  <si>
    <t>SNAP E &amp; T</t>
  </si>
  <si>
    <t>Supplemental Nutrition Assistance Program Education &amp; Training</t>
  </si>
  <si>
    <t>Analysis of transportation systems and data, identification and evaluations of the needs in the region. Coordination of public input for the KY Statewide Transportation Plan, and the subsequent evaluation and prioritization and ranking of projects in the UNL.</t>
  </si>
  <si>
    <t xml:space="preserve">Implement, plan, maintain and provide assistance to ARC communities that upgrade the quality of life, spur employment and improve the economic viability of the region.  Assist in grant writing, transportation planning, and economic development opportunities for the counties of Garrard, Lincoln, Madison, Clark, Powell, Estill and Nicholas.  </t>
  </si>
  <si>
    <t>Develop and implement the Comprehensive Economic Development Strategy for the Economic Development Administration, complete new strategy every five years and ensure update annually.  File GPRA report with EDA.  Provide available property listings for potential investors, submit grant applications, develop Tax Incentive Financing, promote communities and workforce within 17-county region.</t>
  </si>
  <si>
    <t>Identify, collect and process road centerline information for public roads within the region.  Provide input to project priorities for the Six Year Road Plan.  Provide needs statement in CHAF and sponsorship for SHIFT scoring.  Make staff recommendations for transportation/intermodal connectivity.</t>
  </si>
  <si>
    <t>Provide technical assistance, oversight and monitoring of the direct service provider in addition to accountability of funds, audit, financial reports, contracts, monitoring and management of the WIOA program.</t>
  </si>
  <si>
    <t>Provide technical assistance to local units of government in financial and general administration.  Assist in personnel manuals, policy development, general governance, human resource, budgeting, compliance assurance, payroll, insurance and other services as requested by Board members.</t>
  </si>
  <si>
    <t xml:space="preserve">Provide the foundation for all policy making and priority of efforts for council of government.  Advisory Committees are staffed by BGADD subject matter experts and run by elected officials.  Members are appointed by elected officials and consist of concerned citizens or community activists.  Committees review projects, discuss regional problems, educate the region and offer solutions and public policies for consideration by the BGADD Board.  Committees include Aging, Water management, Development, Homeland Security, Human Services, Natural Resources, Regional Planning, Transportation and Tourism. </t>
  </si>
  <si>
    <t xml:space="preserve">Support services for the area water management planning council including as well as updating/verification of water resource information.  Maintain the WRIS and promote strategic use of this information for asset management and utility modeling.  Collect, publish and distribute rate book and promote cost of service studies.  Host working groups for joint collaboration and long range problem solving. </t>
  </si>
  <si>
    <t>Provide Community Development Block Grant administrative services to local units of government.  Identify potential projects, research eligibility, work with engineers and consultants, develop total funding packages, complete environmental reviews, assure threshold eligibility, complete grant closeout as required, maintain records, complete HUD project inspections, ensure 504 Compliance, ensure HUD National Objectives are met.</t>
  </si>
  <si>
    <t>Workforce services provided are Talent Development/ Career Planning &amp; Development Services, Employer Services, Rapid Response Services. These services help eligible clients prepare for, obtain and succeed in self-sustaining employement, and help area employers find, train and hire needed workers.</t>
  </si>
  <si>
    <t>Coordinates the services of one-stop network partners within the local Career Center System.</t>
  </si>
  <si>
    <t xml:space="preserve">Equips individuals to enter the workforce and retain employment. Occupational skills training is provided through Individual Training Accounts (ITAs). The training is provided by entities on the state-managed Eligible Training Provider List (ETPL).  </t>
  </si>
  <si>
    <t>On-the-Job Training (OJT) Contracts per worksite as executed with local area businesses.</t>
  </si>
  <si>
    <t>Bluegrass CAP, Kentucky River Foothills CAP, Boyle Co Senior Center, Estill Co Fiscal Court, LFUCG, Franklin Co Council on Aging, Harrison Co Commission on Aging, Lincoln Co Senior Center, Nicholas Co Senior Center, Northern KY Legal Aid of the Bluegrass :  All III-B Services</t>
  </si>
  <si>
    <t>Bluegrass CAP, Kentucky River Foothills CAP, Boyle Co Senior Center, Estill Co Fiscal Court, Franklin Co Council on Aging, Harrison Co Commission on Aging, Lincoln Co Senior Center, Nicholas Co Senior Center:  Congregate Meals</t>
  </si>
  <si>
    <t>Bluegrass CAP, Kentucky River Foothills CAP, Boyle Co Senior Center, Estill Co Fiscal Court, Franklin Co Council on Aging, Harrison Co Commission on Aging, Lincoln Co Senior Center, Nicholas Co Senior Center:  Home Delivered Meals</t>
  </si>
  <si>
    <t>Bluegrass CAP, Kentucky River Foothills CAP, Boyle Co Senior Center, Estill Co Fiscal Court, LFUCG, Franklin Co Council on Aging, Lincoln Co Senior Center, Nicholas Co Senior Center, Victoria Wells, Dr. Bill Durbin, Rebecca Hannifan: All Approved III-D Services</t>
  </si>
  <si>
    <t>Independence Assistance of the Bluegrass, Grogan's, Wal-mart, individuals:  Respite, Supplemental, Cash &amp; Counseling, Cash &amp; Counseling Respite</t>
  </si>
  <si>
    <t>SHIP SE4A Training Funds</t>
  </si>
  <si>
    <t>Northern KY Legal Aid of the Bluegrass</t>
  </si>
  <si>
    <t>Total</t>
  </si>
  <si>
    <t xml:space="preserve">Equips individuals to enter the workforce and retain employment. Occupational skills training is provided through Individual Training Accounts (ITAs). The training is provided by entities on the state-managed Eligible Traini+AT4ng Provider List (ETPL).  </t>
  </si>
  <si>
    <t>Workforce services provided are Talent Development/ Career Planning &amp; Development Services, Employer Services, Rapid Response Services, Transitional Employment. These services help eligible clients prepare for, obtain and succeed in self-sustaining employement, and help area employers find, train and hire needed workers.</t>
  </si>
  <si>
    <t>OPEB and Pension Adjustment</t>
  </si>
  <si>
    <t>see C1/C2</t>
  </si>
  <si>
    <t>EDA CARES</t>
  </si>
  <si>
    <t>Equus</t>
  </si>
  <si>
    <t>NEG</t>
  </si>
  <si>
    <t>National Emergency Grant</t>
  </si>
  <si>
    <t>ESMP</t>
  </si>
  <si>
    <t>Bluegrass CAP, All Ways Caring Homecare, Independence Assistance of the Bluegrass, Lifeline Homecare: All Homecare Services (Case Mgmt provided by Bluegrass CAP only)</t>
  </si>
  <si>
    <t>Medical ADRC</t>
  </si>
  <si>
    <t>BTG</t>
  </si>
  <si>
    <t>INNU</t>
  </si>
  <si>
    <t>Case Management and Assessment</t>
  </si>
  <si>
    <t>Respite, Assistive Technology, Training/Education</t>
  </si>
  <si>
    <t>Federal unexpended funds left in admin budget due to less staff traveling to conferences  than budgeted for. Fund left to supplement provider's FY26 budget that is smaller than previous years that had ARPA fund included</t>
  </si>
  <si>
    <t xml:space="preserve">Was expending from ESMP fund first as ESMP had priority over other meal funds. </t>
  </si>
  <si>
    <t>Large amount of ARPA Unexpended from FY24</t>
  </si>
  <si>
    <t>USDA NSIP 10/1 to 6/30/25</t>
  </si>
  <si>
    <t>USDA NSIP 7/1 to 9/30/24</t>
  </si>
  <si>
    <t>Emergency Preparedness</t>
  </si>
  <si>
    <t>MIPPA SHIP 9/1 to 6/30/25</t>
  </si>
  <si>
    <t>MIPPA SHIP 7/1 to 8/31/24</t>
  </si>
  <si>
    <t>MIPPA AAA 9/1 to 6/30/25</t>
  </si>
  <si>
    <t>MIPPA AAA   7/1 to 8/31/24</t>
  </si>
  <si>
    <t>MIPPA ADRC 9/1 to 6/30/25</t>
  </si>
  <si>
    <t>MIPPA ADRC   7/1 to 8/31/24</t>
  </si>
  <si>
    <t>Large amount of Federal Unexpended and ARPA Unexpended from FY24.</t>
  </si>
  <si>
    <t>Difficult to get clients into program. Program is also fairly young.</t>
  </si>
  <si>
    <t>Program is fairly young and has more income limitation than TIIIE, difficult to get clients into program.</t>
  </si>
  <si>
    <t>Monthly amount provider save for reminder of contract.</t>
  </si>
  <si>
    <t>Internships/Work Experience - We provide a paid internship/work experience up to $6,000</t>
  </si>
  <si>
    <t>Total amount of Reserves for 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</si>
</sst>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sz val="11"/>
      <name val="Calibri"/>
      <family val="2"/>
      <scheme val="minor"/>
    </font>
    <font>
      <b/>
      <sz val="9"/>
      <color indexed="81"/>
      <name val="Tahoma"/>
      <charset val="1"/>
    </font>
    <font>
      <sz val="9"/>
      <color indexed="81"/>
      <name val="Tahoma"/>
      <charset val="1"/>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0" fillId="0" borderId="0" xfId="0" applyAlignment="1">
      <alignment wrapText="1"/>
    </xf>
    <xf numFmtId="0" fontId="0" fillId="0" borderId="0" xfId="0" applyAlignment="1">
      <alignment horizontal="center" wrapText="1"/>
    </xf>
    <xf numFmtId="0" fontId="0" fillId="0" borderId="1" xfId="0" applyBorder="1" applyAlignment="1">
      <alignment horizontal="center" wrapText="1"/>
    </xf>
    <xf numFmtId="44" fontId="0" fillId="0" borderId="1" xfId="1" applyFont="1" applyBorder="1" applyAlignment="1">
      <alignment horizontal="center" wrapText="1"/>
    </xf>
    <xf numFmtId="0" fontId="0" fillId="0" borderId="1" xfId="0" applyBorder="1" applyAlignment="1">
      <alignment wrapText="1"/>
    </xf>
    <xf numFmtId="44" fontId="0" fillId="0" borderId="1" xfId="1" applyFont="1" applyBorder="1"/>
    <xf numFmtId="0" fontId="0" fillId="0" borderId="1" xfId="0" applyBorder="1"/>
    <xf numFmtId="9" fontId="0" fillId="0" borderId="1" xfId="2" applyFont="1" applyBorder="1"/>
    <xf numFmtId="0" fontId="0" fillId="0" borderId="0" xfId="0" applyAlignment="1">
      <alignment horizontal="center" vertical="center" wrapText="1"/>
    </xf>
    <xf numFmtId="44" fontId="0" fillId="0" borderId="0" xfId="1" applyFont="1"/>
    <xf numFmtId="0" fontId="0" fillId="0" borderId="0" xfId="0" applyAlignment="1">
      <alignment horizontal="center"/>
    </xf>
    <xf numFmtId="0" fontId="2" fillId="0" borderId="0" xfId="0" applyFont="1"/>
    <xf numFmtId="44" fontId="0" fillId="0" borderId="0" xfId="1" applyFont="1" applyBorder="1"/>
    <xf numFmtId="44" fontId="0" fillId="0" borderId="2" xfId="1" applyFont="1" applyBorder="1"/>
    <xf numFmtId="0" fontId="0" fillId="0" borderId="4" xfId="0" applyBorder="1"/>
    <xf numFmtId="0" fontId="0" fillId="0" borderId="5" xfId="0" applyBorder="1"/>
    <xf numFmtId="44" fontId="0" fillId="0" borderId="6" xfId="1" applyFont="1" applyBorder="1"/>
    <xf numFmtId="44" fontId="0" fillId="0" borderId="4" xfId="1" applyFont="1" applyBorder="1"/>
    <xf numFmtId="44" fontId="0" fillId="0" borderId="5" xfId="1" applyFont="1" applyBorder="1"/>
    <xf numFmtId="9" fontId="0" fillId="0" borderId="1" xfId="2" applyFont="1" applyBorder="1" applyAlignment="1">
      <alignment wrapText="1"/>
    </xf>
    <xf numFmtId="9" fontId="0" fillId="0" borderId="0" xfId="2" applyFont="1"/>
    <xf numFmtId="44" fontId="0" fillId="0" borderId="1" xfId="1" applyFont="1" applyBorder="1" applyAlignment="1">
      <alignment horizontal="left" wrapText="1"/>
    </xf>
    <xf numFmtId="44" fontId="0" fillId="0" borderId="1" xfId="1" applyFont="1" applyBorder="1" applyAlignment="1">
      <alignment wrapText="1"/>
    </xf>
    <xf numFmtId="9" fontId="0" fillId="0" borderId="1" xfId="2" applyFont="1" applyBorder="1" applyAlignment="1">
      <alignment horizontal="center" wrapText="1"/>
    </xf>
    <xf numFmtId="44" fontId="0" fillId="0" borderId="1" xfId="0" applyNumberFormat="1" applyBorder="1" applyAlignment="1">
      <alignment horizontal="left" wrapText="1"/>
    </xf>
    <xf numFmtId="9" fontId="0" fillId="0" borderId="1" xfId="2" applyFont="1" applyBorder="1" applyAlignment="1">
      <alignment horizontal="left" wrapText="1"/>
    </xf>
    <xf numFmtId="44" fontId="0" fillId="0" borderId="5" xfId="1" applyFont="1" applyBorder="1" applyAlignment="1">
      <alignment horizontal="left" wrapText="1"/>
    </xf>
    <xf numFmtId="0" fontId="0" fillId="0" borderId="1" xfId="0" applyBorder="1" applyAlignment="1">
      <alignment horizontal="center" vertical="center" wrapText="1"/>
    </xf>
    <xf numFmtId="0" fontId="0" fillId="0" borderId="5" xfId="0" applyBorder="1" applyAlignment="1">
      <alignment horizontal="center" wrapText="1"/>
    </xf>
    <xf numFmtId="0" fontId="0" fillId="0" borderId="7" xfId="0" applyBorder="1" applyAlignment="1">
      <alignment wrapText="1"/>
    </xf>
    <xf numFmtId="44" fontId="0" fillId="0" borderId="0" xfId="0" applyNumberFormat="1"/>
    <xf numFmtId="0" fontId="0" fillId="0" borderId="1" xfId="0" applyBorder="1" applyAlignment="1">
      <alignment horizontal="center"/>
    </xf>
    <xf numFmtId="0" fontId="0" fillId="0" borderId="1" xfId="0" applyBorder="1" applyAlignment="1">
      <alignment vertical="top" wrapText="1"/>
    </xf>
    <xf numFmtId="0" fontId="0" fillId="0" borderId="0" xfId="0" applyAlignment="1">
      <alignment horizontal="center" vertical="top" wrapText="1"/>
    </xf>
    <xf numFmtId="0" fontId="0" fillId="0" borderId="1" xfId="0" applyBorder="1" applyAlignment="1">
      <alignment horizontal="left" wrapText="1"/>
    </xf>
    <xf numFmtId="0" fontId="0" fillId="0" borderId="0" xfId="0" applyAlignment="1">
      <alignment horizontal="left" wrapText="1"/>
    </xf>
    <xf numFmtId="0" fontId="0" fillId="5" borderId="1" xfId="0" applyFill="1" applyBorder="1" applyAlignment="1">
      <alignment horizontal="center" wrapText="1"/>
    </xf>
    <xf numFmtId="44" fontId="0" fillId="5" borderId="1" xfId="1" applyFont="1" applyFill="1" applyBorder="1" applyAlignment="1">
      <alignment horizontal="center" wrapText="1"/>
    </xf>
    <xf numFmtId="10" fontId="0" fillId="5" borderId="1" xfId="2" applyNumberFormat="1" applyFont="1" applyFill="1" applyBorder="1"/>
    <xf numFmtId="164" fontId="0" fillId="5" borderId="1" xfId="2" applyNumberFormat="1" applyFont="1" applyFill="1" applyBorder="1"/>
    <xf numFmtId="44" fontId="0" fillId="0" borderId="1" xfId="0" applyNumberFormat="1" applyBorder="1"/>
    <xf numFmtId="44" fontId="0" fillId="5" borderId="1" xfId="1" applyFont="1" applyFill="1" applyBorder="1"/>
    <xf numFmtId="44" fontId="0" fillId="0" borderId="1" xfId="1" applyFont="1" applyFill="1" applyBorder="1" applyAlignment="1">
      <alignment horizontal="center" wrapText="1"/>
    </xf>
    <xf numFmtId="0" fontId="0" fillId="0" borderId="1" xfId="0" applyBorder="1" applyAlignment="1">
      <alignment horizontal="left" vertical="center"/>
    </xf>
    <xf numFmtId="44" fontId="5" fillId="0" borderId="5" xfId="1" applyFont="1" applyBorder="1"/>
    <xf numFmtId="44" fontId="5" fillId="0" borderId="1" xfId="1" applyFont="1" applyFill="1" applyBorder="1" applyAlignment="1">
      <alignment horizontal="center" wrapText="1"/>
    </xf>
    <xf numFmtId="44" fontId="5" fillId="0" borderId="5" xfId="1" applyFont="1" applyFill="1" applyBorder="1"/>
    <xf numFmtId="44" fontId="5" fillId="0" borderId="1" xfId="1" applyFont="1" applyFill="1" applyBorder="1"/>
    <xf numFmtId="44" fontId="0" fillId="0" borderId="1" xfId="1" applyFont="1" applyFill="1" applyBorder="1"/>
    <xf numFmtId="9" fontId="0" fillId="0" borderId="1" xfId="2" applyFont="1" applyFill="1" applyBorder="1"/>
    <xf numFmtId="0" fontId="0" fillId="0" borderId="1" xfId="0" applyBorder="1" applyAlignment="1">
      <alignment horizontal="right"/>
    </xf>
    <xf numFmtId="44" fontId="0" fillId="2" borderId="1" xfId="1" applyFont="1" applyFill="1" applyBorder="1"/>
    <xf numFmtId="44" fontId="0" fillId="2" borderId="1" xfId="1" applyFont="1" applyFill="1" applyBorder="1" applyAlignment="1">
      <alignment horizontal="center" wrapText="1"/>
    </xf>
    <xf numFmtId="44" fontId="5" fillId="0" borderId="1" xfId="1" applyFont="1" applyBorder="1" applyAlignment="1">
      <alignment horizontal="center" wrapText="1"/>
    </xf>
    <xf numFmtId="9" fontId="5" fillId="0" borderId="1" xfId="2" applyFont="1" applyBorder="1"/>
    <xf numFmtId="44" fontId="5" fillId="0" borderId="1" xfId="1" applyFont="1" applyBorder="1"/>
    <xf numFmtId="0" fontId="4" fillId="0" borderId="1" xfId="0" applyFont="1" applyBorder="1" applyAlignment="1">
      <alignment vertical="top" wrapText="1"/>
    </xf>
    <xf numFmtId="0" fontId="5" fillId="0" borderId="1" xfId="0" applyFont="1" applyBorder="1"/>
    <xf numFmtId="44" fontId="4" fillId="0" borderId="1" xfId="1" applyFont="1" applyBorder="1" applyAlignment="1">
      <alignment horizontal="center" wrapText="1"/>
    </xf>
    <xf numFmtId="44" fontId="4" fillId="0" borderId="5" xfId="1" applyFont="1" applyBorder="1"/>
    <xf numFmtId="44" fontId="4" fillId="0" borderId="1" xfId="1" applyFont="1" applyBorder="1"/>
    <xf numFmtId="9" fontId="4" fillId="0" borderId="1" xfId="2" applyFont="1" applyBorder="1"/>
    <xf numFmtId="10" fontId="5" fillId="0" borderId="1" xfId="2" applyNumberFormat="1" applyFont="1" applyBorder="1"/>
    <xf numFmtId="10" fontId="4" fillId="0" borderId="1" xfId="2" applyNumberFormat="1" applyFont="1" applyBorder="1"/>
    <xf numFmtId="0" fontId="5" fillId="0" borderId="1" xfId="0" applyFont="1" applyBorder="1" applyAlignment="1">
      <alignment vertical="top" wrapText="1"/>
    </xf>
    <xf numFmtId="0" fontId="4" fillId="0" borderId="1" xfId="0" applyFont="1" applyBorder="1" applyAlignment="1">
      <alignment horizontal="right"/>
    </xf>
    <xf numFmtId="9" fontId="0" fillId="2" borderId="1" xfId="2" applyFont="1" applyFill="1" applyBorder="1"/>
    <xf numFmtId="0" fontId="0" fillId="6" borderId="5" xfId="0" applyFill="1" applyBorder="1" applyAlignment="1">
      <alignment horizontal="center" wrapText="1"/>
    </xf>
    <xf numFmtId="0" fontId="0" fillId="6" borderId="1" xfId="0"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1" xfId="0" applyBorder="1" applyAlignment="1">
      <alignment horizontal="center" vertical="center" wrapText="1"/>
    </xf>
    <xf numFmtId="0" fontId="0" fillId="2" borderId="9" xfId="0" applyFill="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3" borderId="8" xfId="0" applyFill="1" applyBorder="1" applyAlignment="1">
      <alignment horizontal="center"/>
    </xf>
    <xf numFmtId="0" fontId="0" fillId="3" borderId="9"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0" fillId="0" borderId="1" xfId="0" applyBorder="1" applyAlignment="1">
      <alignment horizontal="center" wrapText="1"/>
    </xf>
    <xf numFmtId="0" fontId="0" fillId="0" borderId="0" xfId="0" applyAlignment="1">
      <alignment horizontal="center"/>
    </xf>
    <xf numFmtId="0" fontId="0" fillId="0" borderId="1" xfId="0" applyBorder="1" applyAlignment="1">
      <alignment horizontal="left" vertical="center"/>
    </xf>
    <xf numFmtId="0" fontId="3" fillId="0" borderId="0" xfId="0" applyFont="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gadd.sharepoint.com/Users/CHIEFS/FINANCIALS/Financials/FY20/HB189%20report/BGADD%20hb%20189%20REPORT-Aging%20qtr%204%20FY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jvaught\AppData\Local\Microsoft\Windows\Temporary%20Internet%20Files\Content.Outlook\VRW8RV7N\hb%20189%20REPORT%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Aging"/>
      <sheetName val="Workforce"/>
      <sheetName val="Carryover (Reserves)"/>
      <sheetName val="Glossary"/>
    </sheetNames>
    <sheetDataSet>
      <sheetData sheetId="0" refreshError="1">
        <row r="14">
          <cell r="C14"/>
          <cell r="Q14"/>
          <cell r="S14"/>
        </row>
        <row r="20">
          <cell r="L20" t="str">
            <v/>
          </cell>
        </row>
        <row r="21">
          <cell r="L21" t="str">
            <v/>
          </cell>
        </row>
        <row r="22">
          <cell r="L22" t="str">
            <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Aging"/>
      <sheetName val="Workforce"/>
      <sheetName val="Carryover (Reserves)"/>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41"/>
  <sheetViews>
    <sheetView zoomScale="94" zoomScaleNormal="100" workbookViewId="0">
      <pane xSplit="1" topLeftCell="AD1" activePane="topRight" state="frozen"/>
      <selection pane="topRight" activeCell="T14" sqref="T14"/>
    </sheetView>
  </sheetViews>
  <sheetFormatPr defaultColWidth="8.85546875" defaultRowHeight="15" x14ac:dyDescent="0.25"/>
  <cols>
    <col min="1" max="1" width="28.85546875" style="1" customWidth="1"/>
    <col min="2" max="2" width="15.5703125" customWidth="1"/>
    <col min="3" max="4" width="14.140625" customWidth="1"/>
    <col min="5" max="5" width="16.7109375" customWidth="1"/>
    <col min="6" max="18" width="14.140625" customWidth="1"/>
    <col min="19" max="19" width="16.5703125" customWidth="1"/>
    <col min="20" max="20" width="14.140625" customWidth="1"/>
    <col min="21" max="21" width="14.140625" hidden="1" customWidth="1"/>
    <col min="22" max="22" width="16.42578125" customWidth="1"/>
    <col min="23" max="23" width="14.140625" customWidth="1"/>
    <col min="24" max="24" width="16.28515625" customWidth="1"/>
    <col min="25" max="27" width="14.140625" customWidth="1"/>
    <col min="28" max="28" width="18.85546875" hidden="1" customWidth="1"/>
    <col min="29" max="29" width="18.85546875" customWidth="1"/>
    <col min="30" max="30" width="21.5703125" customWidth="1"/>
    <col min="31" max="31" width="26.7109375" customWidth="1"/>
    <col min="32" max="32" width="23.85546875" customWidth="1"/>
    <col min="33" max="33" width="21.85546875" customWidth="1"/>
    <col min="34" max="34" width="27" customWidth="1"/>
    <col min="35" max="35" width="20.140625" customWidth="1"/>
    <col min="36" max="36" width="27.42578125" customWidth="1"/>
    <col min="37" max="37" width="14.140625" hidden="1" customWidth="1"/>
    <col min="38" max="39" width="17" hidden="1" customWidth="1"/>
    <col min="40" max="40" width="18.42578125" hidden="1" customWidth="1"/>
    <col min="41" max="41" width="16.7109375" hidden="1" customWidth="1"/>
    <col min="42" max="42" width="16.42578125" hidden="1" customWidth="1"/>
    <col min="43" max="43" width="16.85546875" hidden="1" customWidth="1"/>
    <col min="44" max="44" width="17.42578125" hidden="1" customWidth="1"/>
    <col min="45" max="45" width="16.7109375" hidden="1" customWidth="1"/>
    <col min="46" max="46" width="18.42578125" customWidth="1"/>
    <col min="47" max="48" width="19.42578125" customWidth="1"/>
    <col min="49" max="49" width="19.28515625" customWidth="1"/>
    <col min="50" max="50" width="15.7109375" bestFit="1" customWidth="1"/>
  </cols>
  <sheetData>
    <row r="1" spans="1:50" ht="15.75" thickBot="1" x14ac:dyDescent="0.3"/>
    <row r="2" spans="1:50" ht="15.75" thickBot="1" x14ac:dyDescent="0.3">
      <c r="A2" s="30"/>
      <c r="B2" s="74" t="s">
        <v>46</v>
      </c>
      <c r="C2" s="74"/>
      <c r="D2" s="74"/>
      <c r="E2" s="74"/>
      <c r="F2" s="74"/>
      <c r="G2" s="74"/>
      <c r="H2" s="74"/>
      <c r="I2" s="74"/>
      <c r="J2" s="74"/>
      <c r="K2" s="74"/>
      <c r="L2" s="74"/>
      <c r="M2" s="74"/>
      <c r="N2" s="74"/>
      <c r="O2" s="74"/>
      <c r="P2" s="74"/>
      <c r="Q2" s="74"/>
      <c r="R2" s="74"/>
      <c r="S2" s="74"/>
      <c r="T2" s="74"/>
      <c r="U2" s="74"/>
      <c r="V2" s="74"/>
      <c r="W2" s="74"/>
      <c r="X2" s="74"/>
      <c r="Y2" s="74"/>
      <c r="Z2" s="74"/>
      <c r="AA2" s="74"/>
      <c r="AB2" s="78" t="s">
        <v>43</v>
      </c>
      <c r="AC2" s="79"/>
      <c r="AD2" s="79"/>
      <c r="AE2" s="79"/>
      <c r="AF2" s="79"/>
      <c r="AG2" s="79"/>
      <c r="AH2" s="79"/>
      <c r="AI2" s="79"/>
      <c r="AJ2" s="79"/>
      <c r="AK2" s="79"/>
      <c r="AL2" s="79"/>
      <c r="AM2" s="79"/>
      <c r="AN2" s="79"/>
      <c r="AO2" s="79"/>
      <c r="AP2" s="79"/>
      <c r="AQ2" s="79"/>
      <c r="AR2" s="79"/>
      <c r="AS2" s="79"/>
      <c r="AT2" s="80" t="s">
        <v>45</v>
      </c>
      <c r="AU2" s="81"/>
      <c r="AV2" s="81"/>
      <c r="AW2" s="81"/>
    </row>
    <row r="3" spans="1:50" s="3" customFormat="1" ht="60" customHeight="1" x14ac:dyDescent="0.25">
      <c r="A3" s="29"/>
      <c r="B3" s="68" t="s">
        <v>12</v>
      </c>
      <c r="C3" s="68" t="s">
        <v>16</v>
      </c>
      <c r="D3" s="68" t="s">
        <v>13</v>
      </c>
      <c r="E3" s="68" t="s">
        <v>14</v>
      </c>
      <c r="F3" s="68" t="s">
        <v>152</v>
      </c>
      <c r="G3" s="68" t="s">
        <v>58</v>
      </c>
      <c r="H3" s="68" t="s">
        <v>15</v>
      </c>
      <c r="I3" s="68" t="s">
        <v>17</v>
      </c>
      <c r="J3" s="68" t="s">
        <v>18</v>
      </c>
      <c r="K3" s="68" t="s">
        <v>162</v>
      </c>
      <c r="L3" s="68" t="s">
        <v>163</v>
      </c>
      <c r="M3" s="69" t="s">
        <v>154</v>
      </c>
      <c r="N3" s="68" t="s">
        <v>155</v>
      </c>
      <c r="O3" s="68" t="s">
        <v>21</v>
      </c>
      <c r="P3" s="68" t="s">
        <v>164</v>
      </c>
      <c r="Q3" s="68" t="s">
        <v>156</v>
      </c>
      <c r="R3" s="68" t="s">
        <v>23</v>
      </c>
      <c r="S3" s="68" t="s">
        <v>24</v>
      </c>
      <c r="T3" s="69" t="s">
        <v>25</v>
      </c>
      <c r="U3" s="3" t="s">
        <v>141</v>
      </c>
      <c r="V3" s="69" t="s">
        <v>165</v>
      </c>
      <c r="W3" s="69" t="s">
        <v>166</v>
      </c>
      <c r="X3" s="69" t="s">
        <v>167</v>
      </c>
      <c r="Y3" s="69" t="s">
        <v>168</v>
      </c>
      <c r="Z3" s="69" t="s">
        <v>169</v>
      </c>
      <c r="AA3" s="69" t="s">
        <v>170</v>
      </c>
      <c r="AB3" s="29" t="s">
        <v>94</v>
      </c>
      <c r="AC3" s="29" t="s">
        <v>92</v>
      </c>
      <c r="AD3" s="29" t="s">
        <v>93</v>
      </c>
      <c r="AE3" s="29" t="s">
        <v>91</v>
      </c>
      <c r="AF3" s="29" t="s">
        <v>95</v>
      </c>
      <c r="AG3" s="29" t="s">
        <v>96</v>
      </c>
      <c r="AH3" s="29" t="s">
        <v>29</v>
      </c>
      <c r="AI3" s="29" t="s">
        <v>30</v>
      </c>
      <c r="AJ3" s="29" t="s">
        <v>97</v>
      </c>
      <c r="AK3" s="29" t="s">
        <v>31</v>
      </c>
      <c r="AL3" s="29" t="s">
        <v>108</v>
      </c>
      <c r="AM3" s="29" t="s">
        <v>148</v>
      </c>
      <c r="AN3" s="29"/>
      <c r="AO3" s="29"/>
      <c r="AP3" s="29"/>
      <c r="AQ3" s="29"/>
      <c r="AR3" s="29"/>
      <c r="AS3" s="29"/>
      <c r="AT3" s="29" t="s">
        <v>40</v>
      </c>
      <c r="AU3" s="29" t="s">
        <v>42</v>
      </c>
      <c r="AV3" s="29" t="s">
        <v>41</v>
      </c>
      <c r="AW3" s="29" t="s">
        <v>90</v>
      </c>
      <c r="AX3" s="37" t="s">
        <v>143</v>
      </c>
    </row>
    <row r="4" spans="1:50" s="4" customFormat="1" x14ac:dyDescent="0.25">
      <c r="A4" s="22" t="s">
        <v>26</v>
      </c>
      <c r="B4" s="45">
        <f>1746442.83-C4</f>
        <v>1717442.83</v>
      </c>
      <c r="C4" s="46">
        <v>29000</v>
      </c>
      <c r="D4" s="46">
        <v>700491.83</v>
      </c>
      <c r="E4" s="46">
        <v>1332942.79</v>
      </c>
      <c r="F4" s="46">
        <v>1062221.18</v>
      </c>
      <c r="G4" s="46">
        <v>110926.71</v>
      </c>
      <c r="H4" s="46">
        <v>885637.08</v>
      </c>
      <c r="I4" s="46">
        <v>10181</v>
      </c>
      <c r="J4" s="46">
        <v>27017</v>
      </c>
      <c r="K4" s="54">
        <v>140321</v>
      </c>
      <c r="L4" s="54">
        <v>0</v>
      </c>
      <c r="M4" s="45">
        <v>118450</v>
      </c>
      <c r="N4" s="54">
        <v>171615</v>
      </c>
      <c r="O4" s="54">
        <v>61901.93</v>
      </c>
      <c r="P4" s="54">
        <v>9684</v>
      </c>
      <c r="Q4" s="54">
        <v>5657.49</v>
      </c>
      <c r="R4" s="46">
        <v>226979.47</v>
      </c>
      <c r="S4" s="46">
        <v>2256753</v>
      </c>
      <c r="T4" s="47">
        <v>90788</v>
      </c>
      <c r="U4" s="60"/>
      <c r="V4" s="47">
        <v>41941</v>
      </c>
      <c r="W4" s="45">
        <v>5821</v>
      </c>
      <c r="X4" s="47">
        <v>40008</v>
      </c>
      <c r="Y4" s="45">
        <v>5783</v>
      </c>
      <c r="Z4" s="46">
        <v>9289</v>
      </c>
      <c r="AA4" s="45">
        <v>0</v>
      </c>
      <c r="AB4" s="53">
        <v>0</v>
      </c>
      <c r="AC4" s="43">
        <v>132644.54999999999</v>
      </c>
      <c r="AD4" s="43">
        <v>29633.919999999998</v>
      </c>
      <c r="AE4" s="43">
        <v>92847</v>
      </c>
      <c r="AF4" s="43">
        <v>207801.74</v>
      </c>
      <c r="AG4" s="43">
        <v>109102.1</v>
      </c>
      <c r="AH4" s="43">
        <v>37900</v>
      </c>
      <c r="AI4" s="43">
        <v>114179</v>
      </c>
      <c r="AJ4" s="43">
        <f>122190+81460</f>
        <v>203650</v>
      </c>
      <c r="AK4" s="53">
        <v>0</v>
      </c>
      <c r="AL4" s="53">
        <v>0</v>
      </c>
      <c r="AM4" s="53">
        <v>0</v>
      </c>
      <c r="AN4" s="53"/>
      <c r="AO4" s="53"/>
      <c r="AP4" s="53"/>
      <c r="AQ4" s="53"/>
      <c r="AR4" s="53">
        <v>0</v>
      </c>
      <c r="AS4" s="53">
        <v>0</v>
      </c>
      <c r="AT4" s="43">
        <v>1308874.31</v>
      </c>
      <c r="AU4" s="43">
        <v>472018.43</v>
      </c>
      <c r="AV4" s="43">
        <v>1069026.1599999999</v>
      </c>
      <c r="AW4" s="43">
        <v>18706.509999999998</v>
      </c>
      <c r="AX4" s="38">
        <f>SUM(B4:AW4)</f>
        <v>12857236.029999999</v>
      </c>
    </row>
    <row r="5" spans="1:50" s="4" customFormat="1" x14ac:dyDescent="0.25">
      <c r="A5" s="22" t="s">
        <v>50</v>
      </c>
      <c r="B5" s="46">
        <f>3265327.11+179054.36+3565.8</f>
        <v>3447947.2699999996</v>
      </c>
      <c r="C5" s="46">
        <v>23413.46</v>
      </c>
      <c r="D5" s="46">
        <f>29944.74+47219.36+1007.19</f>
        <v>78171.290000000008</v>
      </c>
      <c r="E5" s="46">
        <f>116323.19+90756.59+4045.21</f>
        <v>211124.99</v>
      </c>
      <c r="F5" s="46">
        <v>35.880000000000003</v>
      </c>
      <c r="G5" s="46">
        <v>693.41</v>
      </c>
      <c r="H5" s="46">
        <v>33152.26</v>
      </c>
      <c r="I5" s="46">
        <v>26962.81</v>
      </c>
      <c r="J5" s="46">
        <v>24588.44</v>
      </c>
      <c r="K5" s="54">
        <v>0</v>
      </c>
      <c r="L5" s="54"/>
      <c r="M5" s="45"/>
      <c r="N5" s="54">
        <v>0</v>
      </c>
      <c r="O5" s="54">
        <v>0</v>
      </c>
      <c r="P5" s="54">
        <v>0</v>
      </c>
      <c r="Q5" s="54">
        <v>0</v>
      </c>
      <c r="R5" s="46">
        <v>36080.089999999997</v>
      </c>
      <c r="S5" s="46">
        <f>207646.75+1115.4</f>
        <v>208762.15</v>
      </c>
      <c r="T5" s="47">
        <v>955</v>
      </c>
      <c r="U5" s="60"/>
      <c r="V5" s="47">
        <v>0</v>
      </c>
      <c r="W5" s="45"/>
      <c r="X5" s="47">
        <v>0</v>
      </c>
      <c r="Y5" s="45"/>
      <c r="Z5" s="46">
        <v>0</v>
      </c>
      <c r="AA5" s="45"/>
      <c r="AB5" s="53">
        <v>0</v>
      </c>
      <c r="AC5" s="43">
        <v>31749.94</v>
      </c>
      <c r="AD5" s="43">
        <v>29633.919999999998</v>
      </c>
      <c r="AE5" s="43">
        <v>24045</v>
      </c>
      <c r="AF5" s="43">
        <v>0</v>
      </c>
      <c r="AG5" s="43"/>
      <c r="AH5" s="43"/>
      <c r="AI5" s="43">
        <v>0</v>
      </c>
      <c r="AJ5" s="43"/>
      <c r="AK5" s="53"/>
      <c r="AL5" s="53"/>
      <c r="AM5" s="53"/>
      <c r="AN5" s="53"/>
      <c r="AO5" s="53">
        <v>0</v>
      </c>
      <c r="AP5" s="53">
        <v>0</v>
      </c>
      <c r="AQ5" s="53">
        <v>0</v>
      </c>
      <c r="AR5" s="53"/>
      <c r="AS5" s="53">
        <v>0</v>
      </c>
      <c r="AT5" s="43">
        <v>0</v>
      </c>
      <c r="AU5" s="43"/>
      <c r="AV5" s="43"/>
      <c r="AW5" s="43"/>
      <c r="AX5" s="38">
        <f>SUM(B5:AW5)</f>
        <v>4177315.9099999992</v>
      </c>
    </row>
    <row r="6" spans="1:50" s="4" customFormat="1" x14ac:dyDescent="0.25">
      <c r="A6" s="22" t="s">
        <v>51</v>
      </c>
      <c r="B6" s="54">
        <f>SUM(B4:B5)</f>
        <v>5165390.0999999996</v>
      </c>
      <c r="C6" s="54">
        <f>SUM(C4:C5)</f>
        <v>52413.46</v>
      </c>
      <c r="D6" s="46">
        <f t="shared" ref="D6:V6" si="0">SUM(D4:D5)</f>
        <v>778663.12</v>
      </c>
      <c r="E6" s="54">
        <f t="shared" si="0"/>
        <v>1544067.78</v>
      </c>
      <c r="F6" s="54">
        <f t="shared" si="0"/>
        <v>1062257.0599999998</v>
      </c>
      <c r="G6" s="54">
        <f t="shared" si="0"/>
        <v>111620.12000000001</v>
      </c>
      <c r="H6" s="54">
        <f t="shared" si="0"/>
        <v>918789.34</v>
      </c>
      <c r="I6" s="54">
        <f t="shared" si="0"/>
        <v>37143.81</v>
      </c>
      <c r="J6" s="54">
        <f t="shared" si="0"/>
        <v>51605.440000000002</v>
      </c>
      <c r="K6" s="54">
        <f t="shared" si="0"/>
        <v>140321</v>
      </c>
      <c r="L6" s="54">
        <f t="shared" si="0"/>
        <v>0</v>
      </c>
      <c r="M6" s="54">
        <f t="shared" si="0"/>
        <v>118450</v>
      </c>
      <c r="N6" s="54">
        <f t="shared" si="0"/>
        <v>171615</v>
      </c>
      <c r="O6" s="54">
        <f t="shared" si="0"/>
        <v>61901.93</v>
      </c>
      <c r="P6" s="54">
        <f t="shared" si="0"/>
        <v>9684</v>
      </c>
      <c r="Q6" s="54">
        <f t="shared" si="0"/>
        <v>5657.49</v>
      </c>
      <c r="R6" s="54">
        <f t="shared" si="0"/>
        <v>263059.56</v>
      </c>
      <c r="S6" s="54">
        <f t="shared" si="0"/>
        <v>2465515.15</v>
      </c>
      <c r="T6" s="54">
        <f t="shared" si="0"/>
        <v>91743</v>
      </c>
      <c r="U6" s="59">
        <f t="shared" si="0"/>
        <v>0</v>
      </c>
      <c r="V6" s="54">
        <f t="shared" si="0"/>
        <v>41941</v>
      </c>
      <c r="W6" s="54">
        <f>SUM(W4:W5)</f>
        <v>5821</v>
      </c>
      <c r="X6" s="54">
        <f t="shared" ref="X6:AA6" si="1">SUM(X4:X5)</f>
        <v>40008</v>
      </c>
      <c r="Y6" s="54">
        <f>SUM(Y4:Y5)</f>
        <v>5783</v>
      </c>
      <c r="Z6" s="54">
        <f t="shared" si="1"/>
        <v>9289</v>
      </c>
      <c r="AA6" s="54">
        <f t="shared" si="1"/>
        <v>0</v>
      </c>
      <c r="AB6" s="53">
        <f t="shared" ref="AB6:AW6" si="2">SUM(AB4:AB5)</f>
        <v>0</v>
      </c>
      <c r="AC6" s="43">
        <f t="shared" ref="AC6:AW6" si="3">SUM(AC4:AC5)</f>
        <v>164394.49</v>
      </c>
      <c r="AD6" s="43">
        <f t="shared" si="3"/>
        <v>59267.839999999997</v>
      </c>
      <c r="AE6" s="43">
        <f t="shared" si="3"/>
        <v>116892</v>
      </c>
      <c r="AF6" s="43">
        <f t="shared" si="3"/>
        <v>207801.74</v>
      </c>
      <c r="AG6" s="43">
        <f t="shared" si="3"/>
        <v>109102.1</v>
      </c>
      <c r="AH6" s="43">
        <f t="shared" si="3"/>
        <v>37900</v>
      </c>
      <c r="AI6" s="43">
        <f t="shared" si="3"/>
        <v>114179</v>
      </c>
      <c r="AJ6" s="43">
        <f t="shared" si="3"/>
        <v>203650</v>
      </c>
      <c r="AK6" s="53">
        <f t="shared" si="3"/>
        <v>0</v>
      </c>
      <c r="AL6" s="53">
        <f t="shared" si="3"/>
        <v>0</v>
      </c>
      <c r="AM6" s="53">
        <f t="shared" si="3"/>
        <v>0</v>
      </c>
      <c r="AN6" s="53">
        <f t="shared" si="3"/>
        <v>0</v>
      </c>
      <c r="AO6" s="53">
        <f t="shared" si="3"/>
        <v>0</v>
      </c>
      <c r="AP6" s="53">
        <f t="shared" si="3"/>
        <v>0</v>
      </c>
      <c r="AQ6" s="53">
        <f t="shared" si="3"/>
        <v>0</v>
      </c>
      <c r="AR6" s="53">
        <f t="shared" si="3"/>
        <v>0</v>
      </c>
      <c r="AS6" s="53">
        <f t="shared" si="3"/>
        <v>0</v>
      </c>
      <c r="AT6" s="43">
        <f t="shared" si="3"/>
        <v>1308874.31</v>
      </c>
      <c r="AU6" s="43">
        <f t="shared" si="3"/>
        <v>472018.43</v>
      </c>
      <c r="AV6" s="43">
        <f t="shared" si="3"/>
        <v>1069026.1599999999</v>
      </c>
      <c r="AW6" s="43">
        <f t="shared" si="3"/>
        <v>18706.509999999998</v>
      </c>
      <c r="AX6" s="38">
        <f>SUM(B6:AW6)</f>
        <v>17034551.940000001</v>
      </c>
    </row>
    <row r="7" spans="1:50" s="6" customFormat="1" x14ac:dyDescent="0.25">
      <c r="A7" s="23" t="s">
        <v>0</v>
      </c>
      <c r="B7" s="48">
        <f>197601+103971.52-B11</f>
        <v>215296.22000000003</v>
      </c>
      <c r="C7" s="48">
        <v>0</v>
      </c>
      <c r="D7" s="48">
        <f>23570-D11</f>
        <v>16855.27</v>
      </c>
      <c r="E7" s="48">
        <f>23570-E11</f>
        <v>16853.73</v>
      </c>
      <c r="F7" s="48">
        <f>74108.45-F11</f>
        <v>52714.679999999993</v>
      </c>
      <c r="G7" s="48">
        <v>3305.6</v>
      </c>
      <c r="H7" s="48">
        <f>169550.31+141701.72-H11</f>
        <v>219676.37000000002</v>
      </c>
      <c r="I7" s="48">
        <v>0</v>
      </c>
      <c r="J7" s="48">
        <v>0</v>
      </c>
      <c r="K7" s="56">
        <v>0</v>
      </c>
      <c r="L7" s="56"/>
      <c r="M7" s="56">
        <v>112591.9</v>
      </c>
      <c r="N7" s="56">
        <f>30135.83+16418.24-N11</f>
        <v>33185.240000000005</v>
      </c>
      <c r="O7" s="56">
        <f>16804-O11</f>
        <v>12037.15</v>
      </c>
      <c r="P7" s="56">
        <f>1228.6</f>
        <v>1228.5999999999999</v>
      </c>
      <c r="Q7" s="56">
        <v>4441.38</v>
      </c>
      <c r="R7" s="48">
        <v>0</v>
      </c>
      <c r="S7" s="48">
        <f>283297+173084.15-S11</f>
        <v>319981.24</v>
      </c>
      <c r="T7" s="48">
        <v>0</v>
      </c>
      <c r="U7" s="61"/>
      <c r="V7" s="48">
        <v>0</v>
      </c>
      <c r="W7" s="56"/>
      <c r="X7" s="48">
        <v>0</v>
      </c>
      <c r="Y7" s="56"/>
      <c r="Z7" s="48">
        <f>Z6-Z11</f>
        <v>6607.12</v>
      </c>
      <c r="AA7" s="56"/>
      <c r="AB7" s="52"/>
      <c r="AC7" s="49"/>
      <c r="AD7" s="49"/>
      <c r="AE7" s="49"/>
      <c r="AF7" s="49"/>
      <c r="AG7" s="49"/>
      <c r="AH7" s="49"/>
      <c r="AI7" s="49"/>
      <c r="AJ7" s="49"/>
      <c r="AK7" s="52"/>
      <c r="AL7" s="52"/>
      <c r="AM7" s="52"/>
      <c r="AN7" s="52"/>
      <c r="AO7" s="52"/>
      <c r="AP7" s="52"/>
      <c r="AQ7" s="52"/>
      <c r="AR7" s="52"/>
      <c r="AS7" s="52"/>
      <c r="AT7" s="49">
        <f>58861.61</f>
        <v>58861.61</v>
      </c>
      <c r="AU7" s="49">
        <f>90585.47+6522.28</f>
        <v>97107.75</v>
      </c>
      <c r="AV7" s="49">
        <f>97975.24+9738.66</f>
        <v>107713.90000000001</v>
      </c>
      <c r="AW7" s="49"/>
      <c r="AX7" s="38">
        <f>SUM(B7:AW7)</f>
        <v>1278457.76</v>
      </c>
    </row>
    <row r="8" spans="1:50" s="8" customFormat="1" x14ac:dyDescent="0.25">
      <c r="A8" s="20" t="s">
        <v>1</v>
      </c>
      <c r="B8" s="55">
        <f>B7/B6</f>
        <v>4.168053444792099E-2</v>
      </c>
      <c r="C8" s="55">
        <f t="shared" ref="C8:L8" si="4">C7/C6</f>
        <v>0</v>
      </c>
      <c r="D8" s="55">
        <f t="shared" si="4"/>
        <v>2.1646421368974045E-2</v>
      </c>
      <c r="E8" s="55">
        <f t="shared" si="4"/>
        <v>1.0915149074608629E-2</v>
      </c>
      <c r="F8" s="55">
        <f t="shared" si="4"/>
        <v>4.962516323497064E-2</v>
      </c>
      <c r="G8" s="55">
        <f t="shared" si="4"/>
        <v>2.9614732541050841E-2</v>
      </c>
      <c r="H8" s="55">
        <f t="shared" si="4"/>
        <v>0.2390932942256383</v>
      </c>
      <c r="I8" s="55">
        <f t="shared" si="4"/>
        <v>0</v>
      </c>
      <c r="J8" s="55">
        <f t="shared" si="4"/>
        <v>0</v>
      </c>
      <c r="K8" s="55">
        <f t="shared" si="4"/>
        <v>0</v>
      </c>
      <c r="L8" s="55" t="e">
        <f t="shared" si="4"/>
        <v>#DIV/0!</v>
      </c>
      <c r="M8" s="55">
        <f>M7/M6</f>
        <v>0.95054368932038835</v>
      </c>
      <c r="N8" s="55">
        <f t="shared" ref="N8:AA8" si="5">N7/N6</f>
        <v>0.19337027649098276</v>
      </c>
      <c r="O8" s="55">
        <f t="shared" si="5"/>
        <v>0.19445516480665465</v>
      </c>
      <c r="P8" s="55">
        <f t="shared" si="5"/>
        <v>0.1268690623709211</v>
      </c>
      <c r="Q8" s="55">
        <f t="shared" si="5"/>
        <v>0.78504425107247211</v>
      </c>
      <c r="R8" s="55">
        <f t="shared" si="5"/>
        <v>0</v>
      </c>
      <c r="S8" s="55">
        <f t="shared" si="5"/>
        <v>0.12978271092757226</v>
      </c>
      <c r="T8" s="63">
        <f t="shared" si="5"/>
        <v>0</v>
      </c>
      <c r="U8" s="64" t="e">
        <f t="shared" si="5"/>
        <v>#DIV/0!</v>
      </c>
      <c r="V8" s="55">
        <f t="shared" si="5"/>
        <v>0</v>
      </c>
      <c r="W8" s="55">
        <f t="shared" si="5"/>
        <v>0</v>
      </c>
      <c r="X8" s="55">
        <f t="shared" si="5"/>
        <v>0</v>
      </c>
      <c r="Y8" s="55">
        <f t="shared" si="5"/>
        <v>0</v>
      </c>
      <c r="Z8" s="55">
        <f t="shared" si="5"/>
        <v>0.71128431478092369</v>
      </c>
      <c r="AA8" s="55" t="e">
        <f t="shared" si="5"/>
        <v>#DIV/0!</v>
      </c>
      <c r="AB8" s="67" t="e">
        <f t="shared" ref="AB8:AW8" si="6">AB7/AB6</f>
        <v>#DIV/0!</v>
      </c>
      <c r="AC8" s="50">
        <f t="shared" si="6"/>
        <v>0</v>
      </c>
      <c r="AD8" s="50">
        <f t="shared" si="6"/>
        <v>0</v>
      </c>
      <c r="AE8" s="50">
        <f t="shared" si="6"/>
        <v>0</v>
      </c>
      <c r="AF8" s="50">
        <f t="shared" si="6"/>
        <v>0</v>
      </c>
      <c r="AG8" s="50">
        <f t="shared" si="6"/>
        <v>0</v>
      </c>
      <c r="AH8" s="50">
        <f t="shared" si="6"/>
        <v>0</v>
      </c>
      <c r="AI8" s="50">
        <f t="shared" si="6"/>
        <v>0</v>
      </c>
      <c r="AJ8" s="50">
        <f t="shared" si="6"/>
        <v>0</v>
      </c>
      <c r="AK8" s="67" t="e">
        <f t="shared" si="6"/>
        <v>#DIV/0!</v>
      </c>
      <c r="AL8" s="67" t="e">
        <f t="shared" si="6"/>
        <v>#DIV/0!</v>
      </c>
      <c r="AM8" s="67" t="e">
        <f t="shared" si="6"/>
        <v>#DIV/0!</v>
      </c>
      <c r="AN8" s="67" t="e">
        <f t="shared" si="6"/>
        <v>#DIV/0!</v>
      </c>
      <c r="AO8" s="67" t="e">
        <f t="shared" si="6"/>
        <v>#DIV/0!</v>
      </c>
      <c r="AP8" s="67" t="e">
        <f t="shared" si="6"/>
        <v>#DIV/0!</v>
      </c>
      <c r="AQ8" s="67" t="e">
        <f t="shared" si="6"/>
        <v>#DIV/0!</v>
      </c>
      <c r="AR8" s="67" t="e">
        <f t="shared" si="6"/>
        <v>#DIV/0!</v>
      </c>
      <c r="AS8" s="67" t="e">
        <f t="shared" si="6"/>
        <v>#DIV/0!</v>
      </c>
      <c r="AT8" s="50">
        <f t="shared" si="6"/>
        <v>4.497117068483069E-2</v>
      </c>
      <c r="AU8" s="50">
        <f t="shared" si="6"/>
        <v>0.20572872546523235</v>
      </c>
      <c r="AV8" s="50">
        <f t="shared" si="6"/>
        <v>0.10075890004412991</v>
      </c>
      <c r="AW8" s="50">
        <f t="shared" si="6"/>
        <v>0</v>
      </c>
      <c r="AX8" s="40">
        <f>AX7/AX6</f>
        <v>7.5050859247901058E-2</v>
      </c>
    </row>
    <row r="9" spans="1:50" s="6" customFormat="1" x14ac:dyDescent="0.25">
      <c r="A9" s="23" t="s">
        <v>2</v>
      </c>
      <c r="B9" s="48">
        <v>4838817.58</v>
      </c>
      <c r="C9" s="48">
        <f>C6</f>
        <v>52413.46</v>
      </c>
      <c r="D9" s="48">
        <v>721562.35</v>
      </c>
      <c r="E9" s="48">
        <v>1520497.78</v>
      </c>
      <c r="F9" s="48">
        <v>988148.61</v>
      </c>
      <c r="G9" s="48">
        <v>77520.509999999995</v>
      </c>
      <c r="H9" s="48">
        <v>463391.88</v>
      </c>
      <c r="I9" s="48">
        <f>I6</f>
        <v>37143.81</v>
      </c>
      <c r="J9" s="48">
        <f>J6</f>
        <v>51605.440000000002</v>
      </c>
      <c r="K9" s="56">
        <f>K6</f>
        <v>140321</v>
      </c>
      <c r="L9" s="56">
        <f>L6</f>
        <v>0</v>
      </c>
      <c r="M9" s="56">
        <v>0</v>
      </c>
      <c r="N9" s="56">
        <v>72086.960000000006</v>
      </c>
      <c r="O9" s="56">
        <v>43560.01</v>
      </c>
      <c r="P9" s="56">
        <v>8027.76</v>
      </c>
      <c r="Q9" s="56"/>
      <c r="R9" s="48">
        <f>R6</f>
        <v>263059.56</v>
      </c>
      <c r="S9" s="48">
        <v>2009134</v>
      </c>
      <c r="T9" s="48">
        <f>T6</f>
        <v>91743</v>
      </c>
      <c r="U9" s="61"/>
      <c r="V9" s="48">
        <v>34950.080000000002</v>
      </c>
      <c r="W9" s="48">
        <f>W6</f>
        <v>5821</v>
      </c>
      <c r="X9" s="48">
        <v>33340</v>
      </c>
      <c r="Y9" s="48">
        <f>Y6</f>
        <v>5783</v>
      </c>
      <c r="Z9" s="48">
        <v>0</v>
      </c>
      <c r="AA9" s="56"/>
      <c r="AB9" s="52">
        <v>0</v>
      </c>
      <c r="AC9" s="49">
        <v>120562.46</v>
      </c>
      <c r="AD9" s="49">
        <v>42916.13</v>
      </c>
      <c r="AE9" s="49">
        <v>88748.24</v>
      </c>
      <c r="AF9" s="49">
        <v>148439.45000000001</v>
      </c>
      <c r="AG9" s="49">
        <v>78363.41</v>
      </c>
      <c r="AH9" s="49">
        <v>31115.31</v>
      </c>
      <c r="AI9" s="49">
        <v>91061.27</v>
      </c>
      <c r="AJ9" s="49">
        <f>90699.69+58026.59</f>
        <v>148726.28</v>
      </c>
      <c r="AK9" s="52">
        <v>0</v>
      </c>
      <c r="AL9" s="52">
        <v>0</v>
      </c>
      <c r="AM9" s="52">
        <v>0</v>
      </c>
      <c r="AN9" s="52">
        <v>0</v>
      </c>
      <c r="AO9" s="52"/>
      <c r="AP9" s="52"/>
      <c r="AQ9" s="52"/>
      <c r="AR9" s="52">
        <v>0</v>
      </c>
      <c r="AS9" s="52">
        <v>0</v>
      </c>
      <c r="AT9" s="49">
        <f>366539.49+820308.63-AT7</f>
        <v>1127986.51</v>
      </c>
      <c r="AU9" s="49">
        <f>167503.4+241370.76-AU7</f>
        <v>311766.41000000003</v>
      </c>
      <c r="AV9" s="49">
        <f>361107.42+586678.05-AV7</f>
        <v>840071.57</v>
      </c>
      <c r="AW9" s="43">
        <v>18706.509999999998</v>
      </c>
      <c r="AX9" s="38">
        <f>SUM(B9:AW9)</f>
        <v>14507391.340000002</v>
      </c>
    </row>
    <row r="10" spans="1:50" s="8" customFormat="1" x14ac:dyDescent="0.25">
      <c r="A10" s="20" t="s">
        <v>3</v>
      </c>
      <c r="B10" s="55">
        <f>B9/B6</f>
        <v>0.93677679445740225</v>
      </c>
      <c r="C10" s="55">
        <f t="shared" ref="C10:L10" si="7">C9/C6</f>
        <v>1</v>
      </c>
      <c r="D10" s="55">
        <f t="shared" si="7"/>
        <v>0.92666819766679076</v>
      </c>
      <c r="E10" s="55">
        <f t="shared" si="7"/>
        <v>0.98473512607069624</v>
      </c>
      <c r="F10" s="55">
        <f t="shared" si="7"/>
        <v>0.93023491884346732</v>
      </c>
      <c r="G10" s="55">
        <f t="shared" si="7"/>
        <v>0.69450301612289955</v>
      </c>
      <c r="H10" s="55">
        <f t="shared" si="7"/>
        <v>0.50435051847684698</v>
      </c>
      <c r="I10" s="55">
        <f t="shared" si="7"/>
        <v>1</v>
      </c>
      <c r="J10" s="55">
        <f t="shared" si="7"/>
        <v>1</v>
      </c>
      <c r="K10" s="55">
        <f t="shared" si="7"/>
        <v>1</v>
      </c>
      <c r="L10" s="55" t="e">
        <f t="shared" si="7"/>
        <v>#DIV/0!</v>
      </c>
      <c r="M10" s="55">
        <f>M9/M6</f>
        <v>0</v>
      </c>
      <c r="N10" s="55">
        <f t="shared" ref="N10:AA10" si="8">N9/N6</f>
        <v>0.42005046178947064</v>
      </c>
      <c r="O10" s="55">
        <f t="shared" si="8"/>
        <v>0.7036938912890115</v>
      </c>
      <c r="P10" s="55">
        <f t="shared" si="8"/>
        <v>0.82897149938042136</v>
      </c>
      <c r="Q10" s="55">
        <f t="shared" si="8"/>
        <v>0</v>
      </c>
      <c r="R10" s="55">
        <f t="shared" si="8"/>
        <v>1</v>
      </c>
      <c r="S10" s="55">
        <f t="shared" si="8"/>
        <v>0.81489420172494176</v>
      </c>
      <c r="T10" s="55">
        <f t="shared" si="8"/>
        <v>1</v>
      </c>
      <c r="U10" s="62" t="e">
        <f t="shared" si="8"/>
        <v>#DIV/0!</v>
      </c>
      <c r="V10" s="55">
        <f t="shared" si="8"/>
        <v>0.83331537159342894</v>
      </c>
      <c r="W10" s="55">
        <f t="shared" si="8"/>
        <v>1</v>
      </c>
      <c r="X10" s="55">
        <f t="shared" si="8"/>
        <v>0.83333333333333337</v>
      </c>
      <c r="Y10" s="55">
        <f t="shared" si="8"/>
        <v>1</v>
      </c>
      <c r="Z10" s="55">
        <f t="shared" si="8"/>
        <v>0</v>
      </c>
      <c r="AA10" s="55" t="e">
        <f t="shared" si="8"/>
        <v>#DIV/0!</v>
      </c>
      <c r="AB10" s="67" t="e">
        <f t="shared" ref="AB10:AX10" si="9">AB9/AB6</f>
        <v>#DIV/0!</v>
      </c>
      <c r="AC10" s="50">
        <f t="shared" si="9"/>
        <v>0.7333728764266978</v>
      </c>
      <c r="AD10" s="50">
        <f t="shared" si="9"/>
        <v>0.7241048433686802</v>
      </c>
      <c r="AE10" s="50">
        <f t="shared" si="9"/>
        <v>0.75923279608527539</v>
      </c>
      <c r="AF10" s="50">
        <f t="shared" si="9"/>
        <v>0.71433208403356019</v>
      </c>
      <c r="AG10" s="50">
        <f t="shared" si="9"/>
        <v>0.71825757707688487</v>
      </c>
      <c r="AH10" s="50">
        <f t="shared" si="9"/>
        <v>0.82098443271767818</v>
      </c>
      <c r="AI10" s="50">
        <f t="shared" si="9"/>
        <v>0.79753080689093447</v>
      </c>
      <c r="AJ10" s="50">
        <f t="shared" si="9"/>
        <v>0.73030336361404369</v>
      </c>
      <c r="AK10" s="67" t="e">
        <f t="shared" si="9"/>
        <v>#DIV/0!</v>
      </c>
      <c r="AL10" s="67" t="e">
        <f t="shared" si="9"/>
        <v>#DIV/0!</v>
      </c>
      <c r="AM10" s="67" t="e">
        <f t="shared" si="9"/>
        <v>#DIV/0!</v>
      </c>
      <c r="AN10" s="67" t="e">
        <f t="shared" si="9"/>
        <v>#DIV/0!</v>
      </c>
      <c r="AO10" s="67" t="e">
        <f t="shared" si="9"/>
        <v>#DIV/0!</v>
      </c>
      <c r="AP10" s="67" t="e">
        <f t="shared" si="9"/>
        <v>#DIV/0!</v>
      </c>
      <c r="AQ10" s="67" t="e">
        <f t="shared" si="9"/>
        <v>#DIV/0!</v>
      </c>
      <c r="AR10" s="67" t="e">
        <f t="shared" si="9"/>
        <v>#DIV/0!</v>
      </c>
      <c r="AS10" s="67" t="e">
        <f t="shared" si="9"/>
        <v>#DIV/0!</v>
      </c>
      <c r="AT10" s="50">
        <f t="shared" si="9"/>
        <v>0.86179895302552001</v>
      </c>
      <c r="AU10" s="50">
        <f t="shared" si="9"/>
        <v>0.66049626494457014</v>
      </c>
      <c r="AV10" s="50">
        <f t="shared" si="9"/>
        <v>0.78582882387087705</v>
      </c>
      <c r="AW10" s="50">
        <f t="shared" si="9"/>
        <v>1</v>
      </c>
      <c r="AX10" s="39">
        <f t="shared" si="9"/>
        <v>0.85164502072603387</v>
      </c>
    </row>
    <row r="11" spans="1:50" s="6" customFormat="1" x14ac:dyDescent="0.25">
      <c r="A11" s="23" t="s">
        <v>4</v>
      </c>
      <c r="B11" s="48">
        <f>49457+36819.3</f>
        <v>86276.3</v>
      </c>
      <c r="C11" s="48">
        <v>0</v>
      </c>
      <c r="D11" s="48">
        <v>6714.73</v>
      </c>
      <c r="E11" s="48">
        <v>6716.27</v>
      </c>
      <c r="F11" s="48">
        <v>21393.77</v>
      </c>
      <c r="G11" s="48">
        <v>0</v>
      </c>
      <c r="H11" s="48">
        <v>91575.66</v>
      </c>
      <c r="I11" s="48">
        <v>0</v>
      </c>
      <c r="J11" s="48">
        <v>0</v>
      </c>
      <c r="K11" s="56">
        <v>0</v>
      </c>
      <c r="L11" s="56"/>
      <c r="M11" s="56">
        <v>5858.1</v>
      </c>
      <c r="N11" s="56">
        <f>4712.05+8656.78</f>
        <v>13368.830000000002</v>
      </c>
      <c r="O11" s="56">
        <v>4766.8500000000004</v>
      </c>
      <c r="P11" s="56">
        <v>427.64</v>
      </c>
      <c r="Q11" s="56">
        <v>1216.1099999999999</v>
      </c>
      <c r="R11" s="48">
        <v>0</v>
      </c>
      <c r="S11" s="48">
        <f>75105.85+61294.06</f>
        <v>136399.91</v>
      </c>
      <c r="T11" s="48">
        <v>0</v>
      </c>
      <c r="U11" s="61"/>
      <c r="V11" s="48">
        <v>0</v>
      </c>
      <c r="W11" s="56"/>
      <c r="X11" s="48">
        <v>0</v>
      </c>
      <c r="Y11" s="56"/>
      <c r="Z11" s="48">
        <v>2681.88</v>
      </c>
      <c r="AA11" s="56"/>
      <c r="AB11" s="52">
        <v>0</v>
      </c>
      <c r="AC11" s="49">
        <v>43832.03</v>
      </c>
      <c r="AD11" s="49">
        <v>16351.71</v>
      </c>
      <c r="AE11" s="49">
        <v>28143.759999999998</v>
      </c>
      <c r="AF11" s="49">
        <v>59362.29</v>
      </c>
      <c r="AG11" s="49">
        <v>30738.69</v>
      </c>
      <c r="AH11" s="49">
        <v>12644.95</v>
      </c>
      <c r="AI11" s="49">
        <v>35804.730000000003</v>
      </c>
      <c r="AJ11" s="49">
        <f>31490.31+23433.41</f>
        <v>54923.72</v>
      </c>
      <c r="AK11" s="52">
        <v>0</v>
      </c>
      <c r="AL11" s="52">
        <v>0</v>
      </c>
      <c r="AM11" s="52">
        <v>0</v>
      </c>
      <c r="AN11" s="52"/>
      <c r="AO11" s="52">
        <v>0</v>
      </c>
      <c r="AP11" s="52">
        <v>0</v>
      </c>
      <c r="AQ11" s="52"/>
      <c r="AR11" s="52"/>
      <c r="AS11" s="52">
        <v>0</v>
      </c>
      <c r="AT11" s="49">
        <v>122026.19</v>
      </c>
      <c r="AU11" s="49">
        <v>63144.27</v>
      </c>
      <c r="AV11" s="49">
        <v>121240.69</v>
      </c>
      <c r="AW11" s="49"/>
      <c r="AX11" s="38">
        <f>SUM(B11:AW11)</f>
        <v>965609.07999999984</v>
      </c>
    </row>
    <row r="12" spans="1:50" s="8" customFormat="1" ht="15.75" customHeight="1" x14ac:dyDescent="0.25">
      <c r="A12" s="20" t="s">
        <v>5</v>
      </c>
      <c r="B12" s="55">
        <f>B11/B6</f>
        <v>1.6702765585894473E-2</v>
      </c>
      <c r="C12" s="55">
        <f t="shared" ref="C12:L12" si="10">C11/C6</f>
        <v>0</v>
      </c>
      <c r="D12" s="55">
        <f t="shared" si="10"/>
        <v>8.6234082847021186E-3</v>
      </c>
      <c r="E12" s="55">
        <f t="shared" si="10"/>
        <v>4.3497248546951741E-3</v>
      </c>
      <c r="F12" s="55">
        <f t="shared" si="10"/>
        <v>2.013991792156223E-2</v>
      </c>
      <c r="G12" s="55">
        <f t="shared" si="10"/>
        <v>0</v>
      </c>
      <c r="H12" s="55">
        <f t="shared" si="10"/>
        <v>9.9669919984052058E-2</v>
      </c>
      <c r="I12" s="55">
        <f t="shared" si="10"/>
        <v>0</v>
      </c>
      <c r="J12" s="55">
        <f t="shared" si="10"/>
        <v>0</v>
      </c>
      <c r="K12" s="55">
        <f t="shared" si="10"/>
        <v>0</v>
      </c>
      <c r="L12" s="55" t="e">
        <f t="shared" si="10"/>
        <v>#DIV/0!</v>
      </c>
      <c r="M12" s="55">
        <f>M11/M6</f>
        <v>4.9456310679611655E-2</v>
      </c>
      <c r="N12" s="55">
        <f t="shared" ref="N12:AA12" si="11">N11/N6</f>
        <v>7.7900125280424212E-2</v>
      </c>
      <c r="O12" s="55">
        <f t="shared" si="11"/>
        <v>7.7006484288938984E-2</v>
      </c>
      <c r="P12" s="55">
        <f t="shared" si="11"/>
        <v>4.4159438248657576E-2</v>
      </c>
      <c r="Q12" s="55">
        <f t="shared" si="11"/>
        <v>0.21495574892752792</v>
      </c>
      <c r="R12" s="55">
        <f t="shared" si="11"/>
        <v>0</v>
      </c>
      <c r="S12" s="55">
        <f t="shared" si="11"/>
        <v>5.5323087347485984E-2</v>
      </c>
      <c r="T12" s="63">
        <f t="shared" si="11"/>
        <v>0</v>
      </c>
      <c r="U12" s="64" t="e">
        <f t="shared" si="11"/>
        <v>#DIV/0!</v>
      </c>
      <c r="V12" s="55">
        <f t="shared" si="11"/>
        <v>0</v>
      </c>
      <c r="W12" s="55">
        <f t="shared" si="11"/>
        <v>0</v>
      </c>
      <c r="X12" s="55">
        <f t="shared" si="11"/>
        <v>0</v>
      </c>
      <c r="Y12" s="55">
        <f t="shared" si="11"/>
        <v>0</v>
      </c>
      <c r="Z12" s="55">
        <f t="shared" si="11"/>
        <v>0.28871568521907631</v>
      </c>
      <c r="AA12" s="55" t="e">
        <f t="shared" si="11"/>
        <v>#DIV/0!</v>
      </c>
      <c r="AB12" s="67" t="e">
        <f t="shared" ref="AB12:AX12" si="12">AB11/AB6</f>
        <v>#DIV/0!</v>
      </c>
      <c r="AC12" s="50">
        <f t="shared" si="12"/>
        <v>0.26662712357330226</v>
      </c>
      <c r="AD12" s="50">
        <f t="shared" si="12"/>
        <v>0.2758951566313198</v>
      </c>
      <c r="AE12" s="50">
        <f t="shared" si="12"/>
        <v>0.2407672039147247</v>
      </c>
      <c r="AF12" s="50">
        <f t="shared" si="12"/>
        <v>0.28566791596643998</v>
      </c>
      <c r="AG12" s="50">
        <f t="shared" si="12"/>
        <v>0.28174242292311513</v>
      </c>
      <c r="AH12" s="50">
        <f t="shared" si="12"/>
        <v>0.33363984168865435</v>
      </c>
      <c r="AI12" s="50">
        <f t="shared" si="12"/>
        <v>0.31358419674370946</v>
      </c>
      <c r="AJ12" s="50">
        <f t="shared" si="12"/>
        <v>0.26969663638595631</v>
      </c>
      <c r="AK12" s="67" t="e">
        <f t="shared" si="12"/>
        <v>#DIV/0!</v>
      </c>
      <c r="AL12" s="67" t="e">
        <f t="shared" si="12"/>
        <v>#DIV/0!</v>
      </c>
      <c r="AM12" s="67" t="e">
        <f t="shared" si="12"/>
        <v>#DIV/0!</v>
      </c>
      <c r="AN12" s="67" t="e">
        <f t="shared" si="12"/>
        <v>#DIV/0!</v>
      </c>
      <c r="AO12" s="67" t="e">
        <f t="shared" si="12"/>
        <v>#DIV/0!</v>
      </c>
      <c r="AP12" s="67" t="e">
        <f t="shared" si="12"/>
        <v>#DIV/0!</v>
      </c>
      <c r="AQ12" s="67" t="e">
        <f t="shared" si="12"/>
        <v>#DIV/0!</v>
      </c>
      <c r="AR12" s="67" t="e">
        <f t="shared" si="12"/>
        <v>#DIV/0!</v>
      </c>
      <c r="AS12" s="67" t="e">
        <f t="shared" si="12"/>
        <v>#DIV/0!</v>
      </c>
      <c r="AT12" s="50">
        <f t="shared" si="12"/>
        <v>9.3229876289649224E-2</v>
      </c>
      <c r="AU12" s="50">
        <f>AU11/AU6</f>
        <v>0.13377500959019756</v>
      </c>
      <c r="AV12" s="50">
        <f t="shared" si="12"/>
        <v>0.1134122760849931</v>
      </c>
      <c r="AW12" s="50">
        <f t="shared" si="12"/>
        <v>0</v>
      </c>
      <c r="AX12" s="39">
        <f t="shared" si="12"/>
        <v>5.6685323065797044E-2</v>
      </c>
    </row>
    <row r="13" spans="1:50" s="6" customFormat="1" x14ac:dyDescent="0.25">
      <c r="A13" s="23" t="s">
        <v>6</v>
      </c>
      <c r="B13" s="56">
        <f>ROUND(B6-B7-B9-B11,2)</f>
        <v>25000</v>
      </c>
      <c r="C13" s="56">
        <f>C6-C7-C9-C11</f>
        <v>0</v>
      </c>
      <c r="D13" s="56">
        <f>D6-D7-D9-D11</f>
        <v>33530.770000000004</v>
      </c>
      <c r="E13" s="56">
        <f>ROUND(E6-E7-E9-E11,2)</f>
        <v>0</v>
      </c>
      <c r="F13" s="56">
        <f>ROUND(F6-F7-F9-F11,2)</f>
        <v>0</v>
      </c>
      <c r="G13" s="56">
        <f>G6-G7-G9-G11</f>
        <v>30794.010000000009</v>
      </c>
      <c r="H13" s="56">
        <f>H6-H7-H9-H11</f>
        <v>144145.42999999996</v>
      </c>
      <c r="I13" s="56">
        <f t="shared" ref="I13:L13" si="13">I6-I7-I9-I11</f>
        <v>0</v>
      </c>
      <c r="J13" s="56">
        <f t="shared" si="13"/>
        <v>0</v>
      </c>
      <c r="K13" s="56">
        <f t="shared" si="13"/>
        <v>0</v>
      </c>
      <c r="L13" s="56">
        <f t="shared" si="13"/>
        <v>0</v>
      </c>
      <c r="M13" s="56">
        <f>M6-M9-M11-M7</f>
        <v>0</v>
      </c>
      <c r="N13" s="56">
        <f t="shared" ref="N13:AA13" si="14">N6-N7-N9-N11</f>
        <v>52973.97</v>
      </c>
      <c r="O13" s="56">
        <f t="shared" si="14"/>
        <v>1537.9199999999964</v>
      </c>
      <c r="P13" s="56">
        <f>ROUND(P6-P7-P9-P11,2)</f>
        <v>0</v>
      </c>
      <c r="Q13" s="56">
        <f t="shared" si="14"/>
        <v>0</v>
      </c>
      <c r="R13" s="56">
        <f t="shared" si="14"/>
        <v>0</v>
      </c>
      <c r="S13" s="56">
        <f t="shared" si="14"/>
        <v>0</v>
      </c>
      <c r="T13" s="56">
        <f t="shared" si="14"/>
        <v>0</v>
      </c>
      <c r="U13" s="61">
        <f t="shared" si="14"/>
        <v>0</v>
      </c>
      <c r="V13" s="56">
        <f t="shared" si="14"/>
        <v>6990.9199999999983</v>
      </c>
      <c r="W13" s="56">
        <f>W6-W7-W9-W11</f>
        <v>0</v>
      </c>
      <c r="X13" s="56">
        <f t="shared" si="14"/>
        <v>6668</v>
      </c>
      <c r="Y13" s="56">
        <f t="shared" si="14"/>
        <v>0</v>
      </c>
      <c r="Z13" s="56">
        <f t="shared" si="14"/>
        <v>0</v>
      </c>
      <c r="AA13" s="56">
        <f t="shared" si="14"/>
        <v>0</v>
      </c>
      <c r="AB13" s="52">
        <f t="shared" ref="AB13:AX13" si="15">AB6-AB7-AB9-AB11</f>
        <v>0</v>
      </c>
      <c r="AC13" s="49">
        <f t="shared" si="15"/>
        <v>0</v>
      </c>
      <c r="AD13" s="49">
        <f t="shared" si="15"/>
        <v>0</v>
      </c>
      <c r="AE13" s="49">
        <f t="shared" si="15"/>
        <v>0</v>
      </c>
      <c r="AF13" s="49">
        <f t="shared" si="15"/>
        <v>0</v>
      </c>
      <c r="AG13" s="49">
        <f t="shared" si="15"/>
        <v>0</v>
      </c>
      <c r="AH13" s="49">
        <f>AH6-AH7-AH9-AH11</f>
        <v>-5860.260000000002</v>
      </c>
      <c r="AI13" s="49">
        <f t="shared" ref="AI13:AW13" si="16">AI6-AI7-AI9-AI11</f>
        <v>-12687.000000000007</v>
      </c>
      <c r="AJ13" s="49">
        <f t="shared" si="16"/>
        <v>0</v>
      </c>
      <c r="AK13" s="52">
        <f t="shared" si="16"/>
        <v>0</v>
      </c>
      <c r="AL13" s="52">
        <f t="shared" si="16"/>
        <v>0</v>
      </c>
      <c r="AM13" s="52">
        <f>AM6-AM7-AM9-AM11</f>
        <v>0</v>
      </c>
      <c r="AN13" s="52">
        <f t="shared" ref="AN13" si="17">AN6-AN7-AN9-AN11</f>
        <v>0</v>
      </c>
      <c r="AO13" s="52">
        <f t="shared" si="16"/>
        <v>0</v>
      </c>
      <c r="AP13" s="52">
        <f t="shared" si="16"/>
        <v>0</v>
      </c>
      <c r="AQ13" s="52">
        <f t="shared" si="16"/>
        <v>0</v>
      </c>
      <c r="AR13" s="52">
        <f t="shared" si="16"/>
        <v>0</v>
      </c>
      <c r="AS13" s="52">
        <f t="shared" si="16"/>
        <v>0</v>
      </c>
      <c r="AT13" s="49">
        <f>AT6-AT7-AT9-AT11</f>
        <v>0</v>
      </c>
      <c r="AU13" s="49">
        <f>AU6-AU7-AU9-AU11</f>
        <v>0</v>
      </c>
      <c r="AV13" s="49">
        <f t="shared" si="16"/>
        <v>0</v>
      </c>
      <c r="AW13" s="49">
        <f t="shared" si="16"/>
        <v>0</v>
      </c>
      <c r="AX13" s="42">
        <f t="shared" si="15"/>
        <v>283093.76000000001</v>
      </c>
    </row>
    <row r="14" spans="1:50" s="7" customFormat="1" ht="186" customHeight="1" x14ac:dyDescent="0.25">
      <c r="A14" s="5" t="s">
        <v>7</v>
      </c>
      <c r="B14" s="65" t="s">
        <v>159</v>
      </c>
      <c r="C14" s="65"/>
      <c r="D14" s="65" t="s">
        <v>160</v>
      </c>
      <c r="E14" s="65"/>
      <c r="F14" s="57"/>
      <c r="G14" s="65" t="s">
        <v>161</v>
      </c>
      <c r="H14" s="65" t="s">
        <v>171</v>
      </c>
      <c r="I14" s="57"/>
      <c r="J14" s="65"/>
      <c r="K14" s="57"/>
      <c r="L14" s="57"/>
      <c r="M14" s="65"/>
      <c r="N14" s="65" t="s">
        <v>172</v>
      </c>
      <c r="O14" s="65" t="s">
        <v>173</v>
      </c>
      <c r="P14" s="57"/>
      <c r="Q14" s="57"/>
      <c r="R14" s="57" t="str">
        <f>IF(ISBLANK([1]Overall!Q14),"",[1]Overall!Q14)</f>
        <v/>
      </c>
      <c r="S14" s="65"/>
      <c r="T14" s="57" t="str">
        <f>IF(ISBLANK([1]Overall!S14),"",[1]Overall!S14)</f>
        <v/>
      </c>
      <c r="U14" s="57"/>
      <c r="V14" s="65" t="s">
        <v>174</v>
      </c>
      <c r="W14" s="57"/>
      <c r="X14" s="65" t="s">
        <v>174</v>
      </c>
      <c r="Y14" s="57"/>
      <c r="Z14" s="57"/>
      <c r="AA14" s="57"/>
      <c r="AE14" s="5"/>
      <c r="AF14" s="5"/>
      <c r="AG14" s="5"/>
      <c r="AH14" s="5"/>
      <c r="AL14" s="5"/>
      <c r="AM14" s="5"/>
      <c r="AN14" s="5"/>
      <c r="AQ14" s="5"/>
      <c r="AS14" s="5"/>
      <c r="AT14" s="5" t="s">
        <v>44</v>
      </c>
      <c r="AU14" s="5" t="s">
        <v>44</v>
      </c>
      <c r="AV14" s="5" t="s">
        <v>44</v>
      </c>
      <c r="AW14" s="5" t="s">
        <v>44</v>
      </c>
      <c r="AX14" s="41"/>
    </row>
    <row r="16" spans="1:50" s="7" customFormat="1" ht="359.25" customHeight="1" x14ac:dyDescent="0.25">
      <c r="A16" s="5" t="s">
        <v>27</v>
      </c>
      <c r="B16" s="7" t="s">
        <v>83</v>
      </c>
      <c r="C16" s="7" t="s">
        <v>53</v>
      </c>
      <c r="D16" s="7" t="s">
        <v>53</v>
      </c>
      <c r="E16" s="7" t="s">
        <v>53</v>
      </c>
      <c r="G16" s="7" t="s">
        <v>53</v>
      </c>
      <c r="H16" s="5" t="s">
        <v>112</v>
      </c>
      <c r="I16" s="7" t="s">
        <v>53</v>
      </c>
      <c r="J16" s="7" t="s">
        <v>53</v>
      </c>
      <c r="K16" s="7" t="s">
        <v>53</v>
      </c>
      <c r="L16" s="7" t="s">
        <v>53</v>
      </c>
      <c r="M16" s="5"/>
      <c r="N16" s="5" t="s">
        <v>157</v>
      </c>
      <c r="O16" s="5"/>
      <c r="R16" s="7" t="s">
        <v>53</v>
      </c>
      <c r="S16" s="7" t="s">
        <v>83</v>
      </c>
      <c r="T16" s="5" t="s">
        <v>53</v>
      </c>
      <c r="U16" s="5" t="s">
        <v>53</v>
      </c>
      <c r="V16" s="5" t="s">
        <v>53</v>
      </c>
      <c r="W16" s="5" t="s">
        <v>53</v>
      </c>
      <c r="X16" s="5" t="s">
        <v>53</v>
      </c>
      <c r="Y16" s="5" t="s">
        <v>53</v>
      </c>
      <c r="Z16" s="7" t="s">
        <v>120</v>
      </c>
      <c r="AA16" s="7" t="s">
        <v>120</v>
      </c>
      <c r="AB16" s="5"/>
      <c r="AC16" s="5" t="s">
        <v>124</v>
      </c>
      <c r="AD16" s="5" t="s">
        <v>131</v>
      </c>
      <c r="AE16" s="5" t="s">
        <v>125</v>
      </c>
      <c r="AF16" s="5" t="s">
        <v>128</v>
      </c>
      <c r="AG16" s="5" t="s">
        <v>129</v>
      </c>
      <c r="AH16" s="5" t="s">
        <v>126</v>
      </c>
      <c r="AI16" s="5" t="s">
        <v>123</v>
      </c>
      <c r="AJ16" s="5" t="s">
        <v>130</v>
      </c>
      <c r="AK16" s="5"/>
      <c r="AL16" s="5"/>
      <c r="AM16" s="5" t="s">
        <v>98</v>
      </c>
      <c r="AN16" s="5" t="s">
        <v>98</v>
      </c>
      <c r="AO16" s="5" t="s">
        <v>98</v>
      </c>
      <c r="AP16" s="5" t="s">
        <v>98</v>
      </c>
      <c r="AQ16" s="5"/>
      <c r="AR16" s="5"/>
      <c r="AS16" s="5"/>
      <c r="AT16" s="35" t="s">
        <v>127</v>
      </c>
      <c r="AU16" s="35" t="s">
        <v>127</v>
      </c>
      <c r="AV16" s="35" t="s">
        <v>127</v>
      </c>
      <c r="AW16" s="35" t="s">
        <v>127</v>
      </c>
    </row>
    <row r="17" spans="1:50" x14ac:dyDescent="0.25">
      <c r="AT17" s="34"/>
      <c r="AU17" s="2"/>
      <c r="AV17" s="2"/>
      <c r="AW17" s="2"/>
    </row>
    <row r="18" spans="1:50" s="7" customFormat="1" ht="49.5" customHeight="1" x14ac:dyDescent="0.25">
      <c r="A18" s="73" t="s">
        <v>47</v>
      </c>
      <c r="B18" s="70" t="s">
        <v>136</v>
      </c>
      <c r="C18" s="70" t="s">
        <v>111</v>
      </c>
      <c r="D18" s="70" t="s">
        <v>137</v>
      </c>
      <c r="E18" s="70" t="s">
        <v>138</v>
      </c>
      <c r="F18" s="70" t="s">
        <v>138</v>
      </c>
      <c r="G18" s="70" t="s">
        <v>139</v>
      </c>
      <c r="H18" s="70" t="s">
        <v>140</v>
      </c>
      <c r="I18" s="70" t="s">
        <v>113</v>
      </c>
      <c r="J18" s="70" t="s">
        <v>114</v>
      </c>
      <c r="K18" s="70" t="s">
        <v>115</v>
      </c>
      <c r="L18" s="70" t="s">
        <v>115</v>
      </c>
      <c r="M18" s="70"/>
      <c r="N18" s="70" t="s">
        <v>158</v>
      </c>
      <c r="O18" s="70"/>
      <c r="P18" s="70"/>
      <c r="Q18" s="70"/>
      <c r="R18" s="70" t="s">
        <v>116</v>
      </c>
      <c r="S18" s="70" t="s">
        <v>153</v>
      </c>
      <c r="T18" s="70" t="s">
        <v>117</v>
      </c>
      <c r="U18" s="70" t="s">
        <v>142</v>
      </c>
      <c r="V18" s="70" t="s">
        <v>118</v>
      </c>
      <c r="W18" s="70" t="s">
        <v>118</v>
      </c>
      <c r="X18" s="70" t="s">
        <v>119</v>
      </c>
      <c r="Y18" s="70" t="s">
        <v>119</v>
      </c>
      <c r="Z18" s="70" t="s">
        <v>53</v>
      </c>
      <c r="AA18" s="70" t="s">
        <v>53</v>
      </c>
      <c r="AT18" s="7" t="s">
        <v>149</v>
      </c>
      <c r="AU18" s="7" t="s">
        <v>149</v>
      </c>
      <c r="AV18" s="7" t="s">
        <v>149</v>
      </c>
      <c r="AW18" s="7" t="s">
        <v>149</v>
      </c>
    </row>
    <row r="19" spans="1:50" s="7" customFormat="1" ht="75" customHeight="1" x14ac:dyDescent="0.25">
      <c r="A19" s="73"/>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T19" s="75" t="s">
        <v>145</v>
      </c>
      <c r="AU19" s="75" t="s">
        <v>145</v>
      </c>
      <c r="AV19" s="75" t="s">
        <v>145</v>
      </c>
      <c r="AW19" s="75" t="s">
        <v>132</v>
      </c>
      <c r="AX19" s="1"/>
    </row>
    <row r="20" spans="1:50" s="7" customFormat="1" ht="75" customHeight="1" x14ac:dyDescent="0.25">
      <c r="A20" s="73"/>
      <c r="B20" s="71"/>
      <c r="C20" s="71"/>
      <c r="D20" s="71"/>
      <c r="E20" s="71"/>
      <c r="F20" s="71"/>
      <c r="G20" s="71"/>
      <c r="H20" s="71"/>
      <c r="I20" s="71"/>
      <c r="J20" s="71"/>
      <c r="K20" s="71"/>
      <c r="L20" s="71"/>
      <c r="M20" s="71" t="str">
        <f>IF(ISBLANK([1]Overall!L20),"",[1]Overall!L20)</f>
        <v/>
      </c>
      <c r="N20" s="71"/>
      <c r="O20" s="71"/>
      <c r="P20" s="71"/>
      <c r="Q20" s="71"/>
      <c r="R20" s="71"/>
      <c r="S20" s="71"/>
      <c r="T20" s="71"/>
      <c r="U20" s="71"/>
      <c r="V20" s="71"/>
      <c r="W20" s="71"/>
      <c r="X20" s="71"/>
      <c r="Y20" s="71"/>
      <c r="Z20" s="71"/>
      <c r="AA20" s="71"/>
      <c r="AT20" s="76"/>
      <c r="AU20" s="76"/>
      <c r="AV20" s="76"/>
      <c r="AW20" s="76"/>
    </row>
    <row r="21" spans="1:50" s="7" customFormat="1" ht="78" customHeight="1" x14ac:dyDescent="0.25">
      <c r="A21" s="73"/>
      <c r="B21" s="71"/>
      <c r="C21" s="71"/>
      <c r="D21" s="71"/>
      <c r="E21" s="71"/>
      <c r="F21" s="71"/>
      <c r="G21" s="71"/>
      <c r="H21" s="71"/>
      <c r="I21" s="71"/>
      <c r="J21" s="71"/>
      <c r="K21" s="71"/>
      <c r="L21" s="71"/>
      <c r="M21" s="71" t="str">
        <f>IF(ISBLANK([1]Overall!L21),"",[1]Overall!L21)</f>
        <v/>
      </c>
      <c r="N21" s="71"/>
      <c r="O21" s="71"/>
      <c r="P21" s="71"/>
      <c r="Q21" s="71"/>
      <c r="R21" s="71"/>
      <c r="S21" s="71"/>
      <c r="T21" s="71"/>
      <c r="U21" s="71"/>
      <c r="V21" s="71"/>
      <c r="W21" s="71"/>
      <c r="X21" s="71"/>
      <c r="Y21" s="71"/>
      <c r="Z21" s="71"/>
      <c r="AA21" s="71"/>
      <c r="AT21" s="76"/>
      <c r="AU21" s="76"/>
      <c r="AV21" s="76"/>
      <c r="AW21" s="76"/>
    </row>
    <row r="22" spans="1:50" s="7" customFormat="1" ht="96" customHeight="1" x14ac:dyDescent="0.25">
      <c r="A22" s="73"/>
      <c r="B22" s="72"/>
      <c r="C22" s="72"/>
      <c r="D22" s="72"/>
      <c r="E22" s="72"/>
      <c r="F22" s="72"/>
      <c r="G22" s="72"/>
      <c r="H22" s="72"/>
      <c r="I22" s="72"/>
      <c r="J22" s="72"/>
      <c r="K22" s="72"/>
      <c r="L22" s="72"/>
      <c r="M22" s="72" t="str">
        <f>IF(ISBLANK([1]Overall!L22),"",[1]Overall!L22)</f>
        <v/>
      </c>
      <c r="N22" s="72"/>
      <c r="O22" s="72"/>
      <c r="P22" s="72"/>
      <c r="Q22" s="72"/>
      <c r="R22" s="72"/>
      <c r="S22" s="72"/>
      <c r="T22" s="72"/>
      <c r="U22" s="72"/>
      <c r="V22" s="72"/>
      <c r="W22" s="72"/>
      <c r="X22" s="72"/>
      <c r="Y22" s="72"/>
      <c r="Z22" s="72"/>
      <c r="AA22" s="72"/>
      <c r="AT22" s="77"/>
      <c r="AU22" s="77"/>
      <c r="AV22" s="77"/>
      <c r="AW22" s="77"/>
    </row>
    <row r="23" spans="1:50" ht="46.5" customHeight="1" x14ac:dyDescent="0.25">
      <c r="A23" s="9"/>
      <c r="AT23" s="3"/>
      <c r="AU23" s="3"/>
      <c r="AV23" s="35"/>
      <c r="AW23" s="3"/>
    </row>
    <row r="24" spans="1:50" s="7" customFormat="1" x14ac:dyDescent="0.25">
      <c r="A24" s="28" t="s">
        <v>48</v>
      </c>
      <c r="AT24" s="2" t="s">
        <v>149</v>
      </c>
      <c r="AU24" s="2" t="s">
        <v>149</v>
      </c>
      <c r="AV24" s="2" t="s">
        <v>149</v>
      </c>
      <c r="AW24" s="2" t="s">
        <v>149</v>
      </c>
    </row>
    <row r="25" spans="1:50" ht="27.6" customHeight="1" x14ac:dyDescent="0.25">
      <c r="A25" s="9"/>
      <c r="M25" s="7"/>
      <c r="T25" s="7"/>
      <c r="U25" s="7"/>
      <c r="V25" s="7"/>
      <c r="W25" s="7"/>
      <c r="X25" s="7"/>
      <c r="Y25" s="7"/>
      <c r="Z25" s="7"/>
      <c r="AT25" s="35" t="s">
        <v>133</v>
      </c>
      <c r="AU25" s="35" t="s">
        <v>133</v>
      </c>
      <c r="AV25" s="35" t="s">
        <v>133</v>
      </c>
      <c r="AW25" s="35" t="s">
        <v>133</v>
      </c>
    </row>
    <row r="26" spans="1:50" s="7" customFormat="1" x14ac:dyDescent="0.25">
      <c r="A26" s="73" t="s">
        <v>49</v>
      </c>
      <c r="AT26" s="2"/>
      <c r="AU26" s="2"/>
      <c r="AV26" s="2"/>
      <c r="AW26" s="2"/>
    </row>
    <row r="27" spans="1:50" s="7" customFormat="1" ht="226.5" customHeight="1" x14ac:dyDescent="0.25">
      <c r="A27" s="73"/>
      <c r="M27"/>
      <c r="T27"/>
      <c r="Y27"/>
      <c r="AT27" s="35" t="s">
        <v>144</v>
      </c>
      <c r="AU27" s="35" t="s">
        <v>134</v>
      </c>
      <c r="AV27" s="35" t="s">
        <v>134</v>
      </c>
      <c r="AW27" s="35" t="s">
        <v>134</v>
      </c>
    </row>
    <row r="28" spans="1:50" s="7" customFormat="1" ht="90.75" customHeight="1" x14ac:dyDescent="0.25">
      <c r="A28" s="73"/>
      <c r="M28" s="5"/>
      <c r="T28" s="5"/>
      <c r="U28" s="5"/>
      <c r="V28" s="5"/>
      <c r="W28" s="5"/>
      <c r="X28" s="5"/>
      <c r="Y28" s="5"/>
      <c r="Z28" s="5"/>
      <c r="AT28" s="36" t="s">
        <v>135</v>
      </c>
      <c r="AU28" s="36" t="s">
        <v>135</v>
      </c>
      <c r="AV28" s="36" t="s">
        <v>135</v>
      </c>
      <c r="AW28" s="35" t="str">
        <f>IF(ISBLANK([2]Overall!BZ27),"", [2]Overall!BZ27)</f>
        <v/>
      </c>
    </row>
    <row r="29" spans="1:50" s="7" customFormat="1" ht="90" x14ac:dyDescent="0.25">
      <c r="A29" s="73"/>
      <c r="AT29" s="3" t="s">
        <v>175</v>
      </c>
      <c r="AU29" s="3" t="s">
        <v>175</v>
      </c>
      <c r="AV29" s="3" t="s">
        <v>175</v>
      </c>
      <c r="AW29" s="3" t="s">
        <v>175</v>
      </c>
    </row>
    <row r="30" spans="1:50" s="7" customFormat="1" x14ac:dyDescent="0.25">
      <c r="A30" s="73"/>
      <c r="AT30" s="3"/>
      <c r="AU30" s="3"/>
      <c r="AV30" s="3"/>
      <c r="AW30" s="3"/>
    </row>
    <row r="31" spans="1:50" x14ac:dyDescent="0.25">
      <c r="A31" s="9"/>
      <c r="AT31" s="3"/>
      <c r="AU31" s="3"/>
      <c r="AV31" s="3"/>
      <c r="AW31" s="3"/>
    </row>
    <row r="32" spans="1:50" s="7" customFormat="1" ht="15" customHeight="1" x14ac:dyDescent="0.25">
      <c r="A32" s="5" t="s">
        <v>8</v>
      </c>
      <c r="B32" s="58">
        <f>6950</f>
        <v>6950</v>
      </c>
      <c r="C32" s="51" t="s">
        <v>53</v>
      </c>
      <c r="D32" s="58">
        <v>1520</v>
      </c>
      <c r="E32" s="58">
        <f>1063</f>
        <v>1063</v>
      </c>
      <c r="F32" s="58">
        <v>1806</v>
      </c>
      <c r="G32" s="58">
        <v>478</v>
      </c>
      <c r="H32" s="58">
        <f>244+223+140</f>
        <v>607</v>
      </c>
      <c r="I32" s="51" t="s">
        <v>53</v>
      </c>
      <c r="J32" s="51" t="s">
        <v>53</v>
      </c>
      <c r="K32" s="7" t="s">
        <v>147</v>
      </c>
      <c r="L32" s="7" t="s">
        <v>147</v>
      </c>
      <c r="M32" s="51" t="s">
        <v>53</v>
      </c>
      <c r="N32" s="51" t="s">
        <v>53</v>
      </c>
      <c r="O32" s="51">
        <v>44</v>
      </c>
      <c r="P32" s="51" t="s">
        <v>53</v>
      </c>
      <c r="Q32" s="51" t="s">
        <v>53</v>
      </c>
      <c r="R32" s="51" t="s">
        <v>53</v>
      </c>
      <c r="S32" s="58">
        <v>275</v>
      </c>
      <c r="T32" s="58">
        <v>1270563</v>
      </c>
      <c r="U32" s="66"/>
      <c r="V32" s="58">
        <v>530235</v>
      </c>
      <c r="W32" s="58">
        <f>322636-158852</f>
        <v>163784</v>
      </c>
      <c r="X32" s="58">
        <v>505723</v>
      </c>
      <c r="Y32" s="58">
        <f>319195-156664</f>
        <v>162531</v>
      </c>
      <c r="Z32" s="58">
        <v>0</v>
      </c>
      <c r="AA32" s="58">
        <v>0</v>
      </c>
      <c r="AB32" s="70"/>
      <c r="AC32" s="70" t="s">
        <v>107</v>
      </c>
      <c r="AD32" s="70" t="s">
        <v>107</v>
      </c>
      <c r="AE32" s="70" t="s">
        <v>107</v>
      </c>
      <c r="AF32" s="70" t="s">
        <v>107</v>
      </c>
      <c r="AG32" s="70" t="s">
        <v>107</v>
      </c>
      <c r="AH32" s="70" t="s">
        <v>107</v>
      </c>
      <c r="AI32" s="70" t="s">
        <v>107</v>
      </c>
      <c r="AJ32" s="70" t="s">
        <v>107</v>
      </c>
      <c r="AK32" s="70"/>
      <c r="AT32" s="3">
        <v>97</v>
      </c>
      <c r="AU32" s="3">
        <v>31</v>
      </c>
      <c r="AV32" s="3">
        <v>21</v>
      </c>
      <c r="AW32" s="3">
        <v>1</v>
      </c>
    </row>
    <row r="33" spans="1:49" s="7" customFormat="1" x14ac:dyDescent="0.25">
      <c r="A33" s="5" t="s">
        <v>9</v>
      </c>
      <c r="B33" s="58">
        <f>B32</f>
        <v>6950</v>
      </c>
      <c r="C33" s="51" t="s">
        <v>53</v>
      </c>
      <c r="D33" s="58">
        <f>D32</f>
        <v>1520</v>
      </c>
      <c r="E33" s="58">
        <f>E32</f>
        <v>1063</v>
      </c>
      <c r="F33" s="58">
        <f>F32</f>
        <v>1806</v>
      </c>
      <c r="G33" s="58">
        <f>G32</f>
        <v>478</v>
      </c>
      <c r="H33" s="58">
        <f>H32</f>
        <v>607</v>
      </c>
      <c r="I33" s="51" t="s">
        <v>53</v>
      </c>
      <c r="J33" s="51" t="s">
        <v>53</v>
      </c>
      <c r="K33" s="7" t="s">
        <v>147</v>
      </c>
      <c r="L33" s="7" t="s">
        <v>147</v>
      </c>
      <c r="M33" s="51" t="s">
        <v>53</v>
      </c>
      <c r="N33" s="51" t="s">
        <v>53</v>
      </c>
      <c r="O33" s="51">
        <f>O32</f>
        <v>44</v>
      </c>
      <c r="P33" s="51" t="s">
        <v>53</v>
      </c>
      <c r="Q33" s="51" t="s">
        <v>53</v>
      </c>
      <c r="R33" s="51" t="s">
        <v>53</v>
      </c>
      <c r="S33" s="58">
        <f>S32</f>
        <v>275</v>
      </c>
      <c r="T33" s="58">
        <f>T32</f>
        <v>1270563</v>
      </c>
      <c r="U33" s="66"/>
      <c r="V33" s="58">
        <f>V32</f>
        <v>530235</v>
      </c>
      <c r="W33" s="58">
        <f>W32</f>
        <v>163784</v>
      </c>
      <c r="X33" s="58">
        <f>X32</f>
        <v>505723</v>
      </c>
      <c r="Y33" s="58">
        <f>Y32</f>
        <v>162531</v>
      </c>
      <c r="Z33" s="58">
        <v>0</v>
      </c>
      <c r="AA33" s="58">
        <v>0</v>
      </c>
      <c r="AB33" s="71"/>
      <c r="AC33" s="71"/>
      <c r="AD33" s="71"/>
      <c r="AE33" s="71"/>
      <c r="AF33" s="71"/>
      <c r="AG33" s="71"/>
      <c r="AH33" s="71"/>
      <c r="AI33" s="71"/>
      <c r="AJ33" s="71"/>
      <c r="AK33" s="71"/>
      <c r="AT33" s="3">
        <v>97</v>
      </c>
      <c r="AU33" s="3">
        <v>31</v>
      </c>
      <c r="AV33" s="3">
        <v>21</v>
      </c>
      <c r="AW33" s="3">
        <v>1</v>
      </c>
    </row>
    <row r="34" spans="1:49" s="7" customFormat="1" x14ac:dyDescent="0.25">
      <c r="A34" s="5" t="s">
        <v>10</v>
      </c>
      <c r="B34" s="58">
        <v>0</v>
      </c>
      <c r="C34" s="51" t="s">
        <v>53</v>
      </c>
      <c r="D34" s="58">
        <v>0</v>
      </c>
      <c r="E34" s="58">
        <v>103</v>
      </c>
      <c r="F34" s="58">
        <f>E34</f>
        <v>103</v>
      </c>
      <c r="G34" s="58">
        <v>0</v>
      </c>
      <c r="H34" s="58">
        <v>0</v>
      </c>
      <c r="I34" s="51" t="s">
        <v>53</v>
      </c>
      <c r="J34" s="51" t="s">
        <v>53</v>
      </c>
      <c r="K34" s="7" t="s">
        <v>147</v>
      </c>
      <c r="L34" s="7" t="s">
        <v>147</v>
      </c>
      <c r="M34" s="51" t="s">
        <v>53</v>
      </c>
      <c r="N34" s="51" t="s">
        <v>53</v>
      </c>
      <c r="O34" s="51">
        <v>0</v>
      </c>
      <c r="P34" s="51" t="s">
        <v>53</v>
      </c>
      <c r="Q34" s="51" t="s">
        <v>53</v>
      </c>
      <c r="R34" s="51" t="s">
        <v>53</v>
      </c>
      <c r="S34" s="58">
        <v>228</v>
      </c>
      <c r="T34" s="58">
        <v>0</v>
      </c>
      <c r="U34" s="66"/>
      <c r="V34" s="58">
        <v>0</v>
      </c>
      <c r="W34" s="58">
        <v>0</v>
      </c>
      <c r="X34" s="58">
        <v>0</v>
      </c>
      <c r="Y34" s="58">
        <v>0</v>
      </c>
      <c r="Z34" s="58">
        <v>0</v>
      </c>
      <c r="AA34" s="58">
        <v>0</v>
      </c>
      <c r="AB34" s="72"/>
      <c r="AC34" s="72"/>
      <c r="AD34" s="72"/>
      <c r="AE34" s="72"/>
      <c r="AF34" s="72"/>
      <c r="AG34" s="72"/>
      <c r="AH34" s="72"/>
      <c r="AI34" s="72"/>
      <c r="AJ34" s="72"/>
      <c r="AK34" s="72"/>
      <c r="AT34" s="3">
        <v>0</v>
      </c>
      <c r="AU34" s="3">
        <v>0</v>
      </c>
      <c r="AV34" s="3">
        <v>0</v>
      </c>
      <c r="AW34" s="3">
        <v>0</v>
      </c>
    </row>
    <row r="35" spans="1:49" x14ac:dyDescent="0.25">
      <c r="AT35" s="3"/>
      <c r="AU35" s="3"/>
      <c r="AV35" s="3"/>
      <c r="AW35" s="3"/>
    </row>
    <row r="36" spans="1:49" s="7" customFormat="1" ht="36.75" customHeight="1" x14ac:dyDescent="0.25">
      <c r="A36" s="7" t="s">
        <v>11</v>
      </c>
      <c r="B36" s="5" t="s">
        <v>28</v>
      </c>
      <c r="C36" s="5" t="s">
        <v>28</v>
      </c>
      <c r="D36" s="5" t="s">
        <v>28</v>
      </c>
      <c r="E36" s="5" t="s">
        <v>28</v>
      </c>
      <c r="F36" s="5" t="s">
        <v>28</v>
      </c>
      <c r="G36" s="5" t="s">
        <v>28</v>
      </c>
      <c r="H36" s="5" t="s">
        <v>28</v>
      </c>
      <c r="I36" s="5" t="s">
        <v>28</v>
      </c>
      <c r="J36" s="5" t="s">
        <v>28</v>
      </c>
      <c r="K36" s="5" t="s">
        <v>28</v>
      </c>
      <c r="L36" s="5" t="s">
        <v>28</v>
      </c>
      <c r="M36" s="5" t="s">
        <v>28</v>
      </c>
      <c r="N36" s="5" t="s">
        <v>28</v>
      </c>
      <c r="O36" s="5" t="s">
        <v>28</v>
      </c>
      <c r="P36" s="5" t="s">
        <v>28</v>
      </c>
      <c r="Q36" s="5" t="s">
        <v>28</v>
      </c>
      <c r="R36" s="5" t="s">
        <v>28</v>
      </c>
      <c r="S36" s="5" t="s">
        <v>28</v>
      </c>
      <c r="T36" s="5" t="s">
        <v>28</v>
      </c>
      <c r="U36" s="5" t="s">
        <v>28</v>
      </c>
      <c r="V36" s="5" t="s">
        <v>28</v>
      </c>
      <c r="W36" s="5" t="s">
        <v>28</v>
      </c>
      <c r="X36" s="5" t="s">
        <v>28</v>
      </c>
      <c r="Y36" s="5" t="s">
        <v>28</v>
      </c>
      <c r="Z36" s="5" t="s">
        <v>28</v>
      </c>
      <c r="AA36" s="5" t="s">
        <v>28</v>
      </c>
      <c r="AB36" s="5"/>
      <c r="AC36" s="5" t="s">
        <v>28</v>
      </c>
      <c r="AD36" s="5" t="s">
        <v>28</v>
      </c>
      <c r="AE36" s="5" t="s">
        <v>28</v>
      </c>
      <c r="AF36" s="5" t="s">
        <v>28</v>
      </c>
      <c r="AG36" s="5" t="s">
        <v>28</v>
      </c>
      <c r="AH36" s="5" t="s">
        <v>28</v>
      </c>
      <c r="AI36" s="5" t="s">
        <v>28</v>
      </c>
      <c r="AJ36" s="5" t="s">
        <v>28</v>
      </c>
      <c r="AK36" s="5"/>
      <c r="AL36" s="5" t="s">
        <v>28</v>
      </c>
      <c r="AM36" s="5" t="s">
        <v>28</v>
      </c>
      <c r="AN36" s="5" t="s">
        <v>28</v>
      </c>
      <c r="AO36" s="5" t="s">
        <v>28</v>
      </c>
      <c r="AP36" s="5" t="s">
        <v>28</v>
      </c>
      <c r="AQ36" s="5" t="s">
        <v>28</v>
      </c>
      <c r="AR36" s="5" t="s">
        <v>28</v>
      </c>
      <c r="AS36" s="5" t="s">
        <v>28</v>
      </c>
      <c r="AT36" s="5" t="s">
        <v>28</v>
      </c>
      <c r="AU36" s="5" t="s">
        <v>28</v>
      </c>
      <c r="AV36" s="5" t="s">
        <v>28</v>
      </c>
      <c r="AW36" s="5" t="s">
        <v>28</v>
      </c>
    </row>
    <row r="37" spans="1:49" x14ac:dyDescent="0.25">
      <c r="AT37" t="str">
        <f>IF(ISBLANK([2]Overall!BW36),"", [2]Overall!BW36)</f>
        <v/>
      </c>
      <c r="AU37" t="str">
        <f>IF(ISBLANK([2]Overall!BX36),"", [2]Overall!BX36)</f>
        <v/>
      </c>
      <c r="AV37" t="str">
        <f>IF(ISBLANK([2]Overall!BY36),"", [2]Overall!BY36)</f>
        <v/>
      </c>
      <c r="AW37" t="str">
        <f>IF(ISBLANK([2]Overall!BZ36),"", [2]Overall!BZ36)</f>
        <v/>
      </c>
    </row>
    <row r="41" spans="1:49" x14ac:dyDescent="0.25">
      <c r="AT41" s="31"/>
      <c r="AU41" s="31"/>
      <c r="AV41" s="31"/>
    </row>
  </sheetData>
  <mergeCells count="45">
    <mergeCell ref="AT19:AT22"/>
    <mergeCell ref="AU19:AU22"/>
    <mergeCell ref="AW19:AW22"/>
    <mergeCell ref="AG32:AG34"/>
    <mergeCell ref="AB2:AS2"/>
    <mergeCell ref="AT2:AW2"/>
    <mergeCell ref="AV19:AV22"/>
    <mergeCell ref="A18:A22"/>
    <mergeCell ref="B2:AA2"/>
    <mergeCell ref="AB32:AB34"/>
    <mergeCell ref="AK32:AK34"/>
    <mergeCell ref="AJ32:AJ34"/>
    <mergeCell ref="AI32:AI34"/>
    <mergeCell ref="AH32:AH34"/>
    <mergeCell ref="A26:A30"/>
    <mergeCell ref="AC32:AC34"/>
    <mergeCell ref="AE32:AE34"/>
    <mergeCell ref="AD32:AD34"/>
    <mergeCell ref="AF32:AF34"/>
    <mergeCell ref="B18:B22"/>
    <mergeCell ref="C18:C22"/>
    <mergeCell ref="H18:H22"/>
    <mergeCell ref="G18:G22"/>
    <mergeCell ref="E18:E22"/>
    <mergeCell ref="D18:D22"/>
    <mergeCell ref="I18:I22"/>
    <mergeCell ref="J18:J22"/>
    <mergeCell ref="L18:L22"/>
    <mergeCell ref="F18:F22"/>
    <mergeCell ref="K18:K22"/>
    <mergeCell ref="Y18:Y22"/>
    <mergeCell ref="AA18:AA22"/>
    <mergeCell ref="Q18:Q22"/>
    <mergeCell ref="R18:R22"/>
    <mergeCell ref="S18:S22"/>
    <mergeCell ref="T18:T22"/>
    <mergeCell ref="U18:U22"/>
    <mergeCell ref="V18:V22"/>
    <mergeCell ref="X18:X22"/>
    <mergeCell ref="Z18:Z22"/>
    <mergeCell ref="M18:M22"/>
    <mergeCell ref="N18:N22"/>
    <mergeCell ref="O18:O22"/>
    <mergeCell ref="P18:P22"/>
    <mergeCell ref="W18:W22"/>
  </mergeCells>
  <pageMargins left="0.25" right="0.25" top="0.5" bottom="0.5" header="0.3" footer="0.3"/>
  <pageSetup paperSize="5" scale="27" fitToHeight="10" orientation="landscape" r:id="rId1"/>
  <headerFooter>
    <oddHeader xml:space="preserve">&amp;CBluegrass Area Development District
FY 2020
KRS 147a.115 Report
</oddHeader>
  </headerFooter>
  <colBreaks count="1" manualBreakCount="1">
    <brk id="33" max="36" man="1"/>
  </col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C28"/>
  <sheetViews>
    <sheetView zoomScaleNormal="100" workbookViewId="0">
      <selection activeCell="AA3" sqref="AA3"/>
    </sheetView>
  </sheetViews>
  <sheetFormatPr defaultColWidth="8.85546875" defaultRowHeight="15" x14ac:dyDescent="0.25"/>
  <cols>
    <col min="1" max="1" width="29.7109375" style="1" customWidth="1"/>
    <col min="2" max="5" width="25.7109375" customWidth="1"/>
    <col min="6" max="6" width="15.28515625" customWidth="1"/>
    <col min="7" max="10" width="25.7109375" customWidth="1"/>
    <col min="11" max="15" width="25.7109375" hidden="1" customWidth="1"/>
    <col min="16" max="20" width="25.7109375" customWidth="1"/>
    <col min="21" max="21" width="25.7109375" hidden="1" customWidth="1"/>
    <col min="22" max="22" width="25.7109375" customWidth="1"/>
    <col min="23" max="23" width="26.42578125" customWidth="1"/>
    <col min="24" max="27" width="25.7109375" customWidth="1"/>
    <col min="29" max="29" width="15.28515625" bestFit="1" customWidth="1"/>
    <col min="30" max="30" width="13.85546875" bestFit="1" customWidth="1"/>
  </cols>
  <sheetData>
    <row r="3" spans="1:29" s="2" customFormat="1" ht="30" x14ac:dyDescent="0.25">
      <c r="A3" s="3"/>
      <c r="B3" s="3" t="str">
        <f>Overall!B3</f>
        <v>Title III B</v>
      </c>
      <c r="C3" s="3" t="str">
        <f>Overall!C3</f>
        <v>Title III B Omb</v>
      </c>
      <c r="D3" s="3" t="str">
        <f>Overall!D3</f>
        <v>Title III C1</v>
      </c>
      <c r="E3" s="3" t="str">
        <f>Overall!E3</f>
        <v>Title III C2</v>
      </c>
      <c r="F3" s="3" t="str">
        <f>Overall!F3</f>
        <v>ESMP</v>
      </c>
      <c r="G3" s="3" t="s">
        <v>58</v>
      </c>
      <c r="H3" s="3" t="str">
        <f>Overall!H3</f>
        <v>Title III E</v>
      </c>
      <c r="I3" s="3" t="str">
        <f>Overall!I3</f>
        <v>Title III Elder Abuse</v>
      </c>
      <c r="J3" s="3" t="str">
        <f>Overall!J3</f>
        <v>Title VII Ombudsman</v>
      </c>
      <c r="K3" s="3" t="str">
        <f>Overall!K3</f>
        <v>USDA NSIP 10/1 to 6/30/25</v>
      </c>
      <c r="L3" s="3" t="str">
        <f>Overall!L3</f>
        <v>USDA NSIP 7/1 to 9/30/24</v>
      </c>
      <c r="M3" s="3" t="str">
        <f>Overall!M3</f>
        <v>Medical ADRC</v>
      </c>
      <c r="N3" s="3" t="str">
        <f>Overall!N3</f>
        <v>BTG</v>
      </c>
      <c r="O3" s="3" t="str">
        <f>Overall!O3</f>
        <v>Ky Caregiver</v>
      </c>
      <c r="P3" s="3" t="str">
        <f>Overall!P3</f>
        <v>Emergency Preparedness</v>
      </c>
      <c r="Q3" s="3" t="str">
        <f>Overall!Q3</f>
        <v>INNU</v>
      </c>
      <c r="R3" s="3" t="str">
        <f>Overall!R3</f>
        <v>State Long Term Care Ombudsman</v>
      </c>
      <c r="S3" s="3" t="str">
        <f>Overall!S3</f>
        <v>Homecare</v>
      </c>
      <c r="T3" s="3" t="str">
        <f>Overall!T3</f>
        <v>SHIP</v>
      </c>
      <c r="U3" s="3" t="str">
        <f>Overall!U3</f>
        <v>SHIP SE4A Training Funds</v>
      </c>
      <c r="V3" s="3" t="str">
        <f>Overall!V3</f>
        <v>MIPPA SHIP 9/1 to 6/30/25</v>
      </c>
      <c r="W3" s="32" t="str">
        <f>Overall!W3</f>
        <v>MIPPA SHIP 7/1 to 8/31/24</v>
      </c>
      <c r="X3" s="3" t="str">
        <f>Overall!X3</f>
        <v>MIPPA AAA 9/1 to 6/30/25</v>
      </c>
      <c r="Y3" s="3" t="str">
        <f>Overall!Y3</f>
        <v>MIPPA AAA   7/1 to 8/31/24</v>
      </c>
      <c r="Z3" s="3" t="str">
        <f>Overall!Z3</f>
        <v>MIPPA ADRC 9/1 to 6/30/25</v>
      </c>
      <c r="AA3" s="3" t="str">
        <f>Overall!AA3</f>
        <v>MIPPA ADRC   7/1 to 8/31/24</v>
      </c>
      <c r="AC3" s="2" t="s">
        <v>143</v>
      </c>
    </row>
    <row r="4" spans="1:29" s="10" customFormat="1" x14ac:dyDescent="0.25">
      <c r="A4" s="27" t="str">
        <f>Overall!A4</f>
        <v>Grant Award</v>
      </c>
      <c r="B4" s="19">
        <f>IF(ISBLANK(Overall!B4),"",Overall!B4)</f>
        <v>1717442.83</v>
      </c>
      <c r="C4" s="19">
        <f>IF(ISBLANK(Overall!C4),"",Overall!C4)</f>
        <v>29000</v>
      </c>
      <c r="D4" s="19">
        <f>IF(ISBLANK(Overall!D4),"",Overall!D4)</f>
        <v>700491.83</v>
      </c>
      <c r="E4" s="19">
        <f>IF(ISBLANK(Overall!E4),"",Overall!E4)</f>
        <v>1332942.79</v>
      </c>
      <c r="F4" s="19">
        <f>IF(ISBLANK(Overall!F4),"",Overall!F4)</f>
        <v>1062221.18</v>
      </c>
      <c r="G4" s="19">
        <f>IF(ISBLANK(Overall!G4),"",Overall!G4)</f>
        <v>110926.71</v>
      </c>
      <c r="H4" s="19">
        <f>IF(ISBLANK(Overall!H4),"",Overall!H4)</f>
        <v>885637.08</v>
      </c>
      <c r="I4" s="19">
        <f>IF(ISBLANK(Overall!I4),"",Overall!I4)</f>
        <v>10181</v>
      </c>
      <c r="J4" s="19">
        <f>IF(ISBLANK(Overall!J4),"",Overall!J4)</f>
        <v>27017</v>
      </c>
      <c r="K4" s="19">
        <f>IF(ISBLANK(Overall!K4),"",Overall!K4)</f>
        <v>140321</v>
      </c>
      <c r="L4" s="19">
        <f>IF(ISBLANK(Overall!L4),"",Overall!L4)</f>
        <v>0</v>
      </c>
      <c r="M4" s="19">
        <f>IF(ISBLANK(Overall!M4),"",Overall!M4)</f>
        <v>118450</v>
      </c>
      <c r="N4" s="19">
        <f>IF(ISBLANK(Overall!N4),"",Overall!N4)</f>
        <v>171615</v>
      </c>
      <c r="O4" s="19">
        <f>IF(ISBLANK(Overall!O4),"",Overall!O4)</f>
        <v>61901.93</v>
      </c>
      <c r="P4" s="19">
        <f>IF(ISBLANK(Overall!P4),"",Overall!P4)</f>
        <v>9684</v>
      </c>
      <c r="Q4" s="19">
        <f>IF(ISBLANK(Overall!Q4),"",Overall!Q4)</f>
        <v>5657.49</v>
      </c>
      <c r="R4" s="19">
        <f>IF(ISBLANK(Overall!R4),"",Overall!R4)</f>
        <v>226979.47</v>
      </c>
      <c r="S4" s="19">
        <f>IF(ISBLANK(Overall!S4),"",Overall!S4)</f>
        <v>2256753</v>
      </c>
      <c r="T4" s="19">
        <f>IF(ISBLANK(Overall!T4),"",Overall!T4)</f>
        <v>90788</v>
      </c>
      <c r="U4" s="19" t="str">
        <f>IF(ISBLANK(Overall!U4),"",Overall!U4)</f>
        <v/>
      </c>
      <c r="V4" s="19">
        <f>IF(ISBLANK(Overall!V4),"",Overall!V4)</f>
        <v>41941</v>
      </c>
      <c r="W4" s="19">
        <f>IF(ISBLANK(Overall!W4),"",Overall!W4)</f>
        <v>5821</v>
      </c>
      <c r="X4" s="19">
        <f>IF(ISBLANK(Overall!X4),"",Overall!X4)</f>
        <v>40008</v>
      </c>
      <c r="Y4" s="19">
        <f>IF(ISBLANK(Overall!Y4),"",Overall!Y4)</f>
        <v>5783</v>
      </c>
      <c r="Z4" s="19">
        <f>IF(ISBLANK(Overall!Z4),"",Overall!Z4)</f>
        <v>9289</v>
      </c>
      <c r="AA4" s="19">
        <f>IF(ISBLANK(Overall!AA4),"",Overall!AA4)</f>
        <v>0</v>
      </c>
      <c r="AC4" s="10">
        <f>SUM(B4:AB4)</f>
        <v>9060852.3099999987</v>
      </c>
    </row>
    <row r="5" spans="1:29" s="10" customFormat="1" x14ac:dyDescent="0.25">
      <c r="A5" s="27" t="str">
        <f>Overall!A5</f>
        <v>Local Funds (Match or applied)</v>
      </c>
      <c r="B5" s="19">
        <f>IF(ISBLANK(Overall!B5),"",Overall!B5)</f>
        <v>3447947.2699999996</v>
      </c>
      <c r="C5" s="19">
        <f>IF(ISBLANK(Overall!C5),"",Overall!C5)</f>
        <v>23413.46</v>
      </c>
      <c r="D5" s="19">
        <f>IF(ISBLANK(Overall!D5),"",Overall!D5)</f>
        <v>78171.290000000008</v>
      </c>
      <c r="E5" s="19">
        <f>IF(ISBLANK(Overall!E5),"",Overall!E5)</f>
        <v>211124.99</v>
      </c>
      <c r="F5" s="19">
        <f>IF(ISBLANK(Overall!F5),"",Overall!F5)</f>
        <v>35.880000000000003</v>
      </c>
      <c r="G5" s="19">
        <f>IF(ISBLANK(Overall!G5),"",Overall!G5)</f>
        <v>693.41</v>
      </c>
      <c r="H5" s="19">
        <f>IF(ISBLANK(Overall!H5),"",Overall!H5)</f>
        <v>33152.26</v>
      </c>
      <c r="I5" s="19">
        <f>IF(ISBLANK(Overall!I5),"",Overall!I5)</f>
        <v>26962.81</v>
      </c>
      <c r="J5" s="19">
        <f>IF(ISBLANK(Overall!J5),"",Overall!J5)</f>
        <v>24588.44</v>
      </c>
      <c r="K5" s="19">
        <f>IF(ISBLANK(Overall!K5),"",Overall!K5)</f>
        <v>0</v>
      </c>
      <c r="L5" s="19" t="str">
        <f>IF(ISBLANK(Overall!L5),"",Overall!L5)</f>
        <v/>
      </c>
      <c r="M5" s="19" t="str">
        <f>IF(ISBLANK(Overall!M5),"",Overall!M5)</f>
        <v/>
      </c>
      <c r="N5" s="19">
        <f>IF(ISBLANK(Overall!N5),"",Overall!N5)</f>
        <v>0</v>
      </c>
      <c r="O5" s="19">
        <f>IF(ISBLANK(Overall!O5),"",Overall!O5)</f>
        <v>0</v>
      </c>
      <c r="P5" s="19">
        <f>IF(ISBLANK(Overall!P5),"",Overall!P5)</f>
        <v>0</v>
      </c>
      <c r="Q5" s="19">
        <f>IF(ISBLANK(Overall!Q5),"",Overall!Q5)</f>
        <v>0</v>
      </c>
      <c r="R5" s="19">
        <f>IF(ISBLANK(Overall!R5),"",Overall!R5)</f>
        <v>36080.089999999997</v>
      </c>
      <c r="S5" s="19">
        <f>IF(ISBLANK(Overall!S5),"",Overall!S5)</f>
        <v>208762.15</v>
      </c>
      <c r="T5" s="19">
        <f>IF(ISBLANK(Overall!T5),"",Overall!T5)</f>
        <v>955</v>
      </c>
      <c r="U5" s="19" t="str">
        <f>IF(ISBLANK(Overall!U5),"",Overall!U5)</f>
        <v/>
      </c>
      <c r="V5" s="19">
        <f>IF(ISBLANK(Overall!V5),"",Overall!V5)</f>
        <v>0</v>
      </c>
      <c r="W5" s="19" t="str">
        <f>IF(ISBLANK(Overall!W5),"",Overall!W5)</f>
        <v/>
      </c>
      <c r="X5" s="19">
        <f>IF(ISBLANK(Overall!X5),"",Overall!X5)</f>
        <v>0</v>
      </c>
      <c r="Y5" s="19" t="str">
        <f>IF(ISBLANK(Overall!Y5),"",Overall!Y5)</f>
        <v/>
      </c>
      <c r="Z5" s="19">
        <f>IF(ISBLANK(Overall!Z5),"",Overall!Z5)</f>
        <v>0</v>
      </c>
      <c r="AA5" s="19" t="str">
        <f>IF(ISBLANK(Overall!AA5),"",Overall!AA5)</f>
        <v/>
      </c>
      <c r="AC5" s="10">
        <f t="shared" ref="AC5:AC7" si="0">SUM(B5:AB5)</f>
        <v>4091887.0499999993</v>
      </c>
    </row>
    <row r="6" spans="1:29" s="10" customFormat="1" x14ac:dyDescent="0.25">
      <c r="A6" s="27" t="str">
        <f>Overall!A6</f>
        <v>Total Grant Funds</v>
      </c>
      <c r="B6" s="19">
        <f>IF(ISBLANK(Overall!B6),"",Overall!B6)</f>
        <v>5165390.0999999996</v>
      </c>
      <c r="C6" s="19">
        <f>IF(ISBLANK(Overall!C6),"",Overall!C6)</f>
        <v>52413.46</v>
      </c>
      <c r="D6" s="19">
        <f>IF(ISBLANK(Overall!D6),"",Overall!D6)</f>
        <v>778663.12</v>
      </c>
      <c r="E6" s="19">
        <f>IF(ISBLANK(Overall!E6),"",Overall!E6)</f>
        <v>1544067.78</v>
      </c>
      <c r="F6" s="19">
        <f>IF(ISBLANK(Overall!F6),"",Overall!F6)</f>
        <v>1062257.0599999998</v>
      </c>
      <c r="G6" s="19">
        <f>IF(ISBLANK(Overall!G6),"",Overall!G6)</f>
        <v>111620.12000000001</v>
      </c>
      <c r="H6" s="19">
        <f>IF(ISBLANK(Overall!H6),"",Overall!H6)</f>
        <v>918789.34</v>
      </c>
      <c r="I6" s="19">
        <f>IF(ISBLANK(Overall!I6),"",Overall!I6)</f>
        <v>37143.81</v>
      </c>
      <c r="J6" s="19">
        <f>IF(ISBLANK(Overall!J6),"",Overall!J6)</f>
        <v>51605.440000000002</v>
      </c>
      <c r="K6" s="19">
        <f>IF(ISBLANK(Overall!K6),"",Overall!K6)</f>
        <v>140321</v>
      </c>
      <c r="L6" s="19">
        <f>IF(ISBLANK(Overall!L6),"",Overall!L6)</f>
        <v>0</v>
      </c>
      <c r="M6" s="19">
        <f>IF(ISBLANK(Overall!M6),"",Overall!M6)</f>
        <v>118450</v>
      </c>
      <c r="N6" s="19">
        <f>IF(ISBLANK(Overall!N6),"",Overall!N6)</f>
        <v>171615</v>
      </c>
      <c r="O6" s="19">
        <f>IF(ISBLANK(Overall!O6),"",Overall!O6)</f>
        <v>61901.93</v>
      </c>
      <c r="P6" s="19">
        <f>IF(ISBLANK(Overall!P6),"",Overall!P6)</f>
        <v>9684</v>
      </c>
      <c r="Q6" s="19">
        <f>IF(ISBLANK(Overall!Q6),"",Overall!Q6)</f>
        <v>5657.49</v>
      </c>
      <c r="R6" s="19">
        <f>IF(ISBLANK(Overall!R6),"",Overall!R6)</f>
        <v>263059.56</v>
      </c>
      <c r="S6" s="19">
        <f>IF(ISBLANK(Overall!S6),"",Overall!S6)</f>
        <v>2465515.15</v>
      </c>
      <c r="T6" s="19">
        <f>IF(ISBLANK(Overall!T6),"",Overall!T6)</f>
        <v>91743</v>
      </c>
      <c r="U6" s="19">
        <f>IF(ISBLANK(Overall!U6),"",Overall!U6)</f>
        <v>0</v>
      </c>
      <c r="V6" s="19">
        <f>IF(ISBLANK(Overall!V6),"",Overall!V6)</f>
        <v>41941</v>
      </c>
      <c r="W6" s="19">
        <f>IF(ISBLANK(Overall!W6),"",Overall!W6)</f>
        <v>5821</v>
      </c>
      <c r="X6" s="19">
        <f>IF(ISBLANK(Overall!X6),"",Overall!X6)</f>
        <v>40008</v>
      </c>
      <c r="Y6" s="19">
        <f>IF(ISBLANK(Overall!Y6),"",Overall!Y6)</f>
        <v>5783</v>
      </c>
      <c r="Z6" s="19">
        <f>IF(ISBLANK(Overall!Z6),"",Overall!Z6)</f>
        <v>9289</v>
      </c>
      <c r="AA6" s="19">
        <f>IF(ISBLANK(Overall!AA6),"",Overall!AA6)</f>
        <v>0</v>
      </c>
      <c r="AC6" s="10">
        <f>SUM(AC4:AC5)</f>
        <v>13152739.359999998</v>
      </c>
    </row>
    <row r="7" spans="1:29" s="10" customFormat="1" x14ac:dyDescent="0.25">
      <c r="A7" s="22" t="str">
        <f>Overall!A7</f>
        <v>Administrative Costs</v>
      </c>
      <c r="B7" s="6">
        <f>IF(ISBLANK(Overall!B7),"",Overall!B7)</f>
        <v>215296.22000000003</v>
      </c>
      <c r="C7" s="6">
        <f>IF(ISBLANK(Overall!C7),"",Overall!C7)</f>
        <v>0</v>
      </c>
      <c r="D7" s="6">
        <f>IF(ISBLANK(Overall!D7),"",Overall!D7)</f>
        <v>16855.27</v>
      </c>
      <c r="E7" s="6">
        <f>IF(ISBLANK(Overall!E7),"",Overall!E7)</f>
        <v>16853.73</v>
      </c>
      <c r="F7" s="6">
        <f>IF(ISBLANK(Overall!F7),"",Overall!F7)</f>
        <v>52714.679999999993</v>
      </c>
      <c r="G7" s="6">
        <f>IF(ISBLANK(Overall!G7),"",Overall!G7)</f>
        <v>3305.6</v>
      </c>
      <c r="H7" s="6">
        <f>IF(ISBLANK(Overall!H7),"",Overall!H7)</f>
        <v>219676.37000000002</v>
      </c>
      <c r="I7" s="6">
        <f>IF(ISBLANK(Overall!I7),"",Overall!I7)</f>
        <v>0</v>
      </c>
      <c r="J7" s="6">
        <f>IF(ISBLANK(Overall!J7),"",Overall!J7)</f>
        <v>0</v>
      </c>
      <c r="K7" s="6">
        <f>IF(ISBLANK(Overall!K7),"",Overall!K7)</f>
        <v>0</v>
      </c>
      <c r="L7" s="6" t="str">
        <f>IF(ISBLANK(Overall!L7),"",Overall!L7)</f>
        <v/>
      </c>
      <c r="M7" s="6">
        <f>IF(ISBLANK(Overall!M7),"",Overall!M7)</f>
        <v>112591.9</v>
      </c>
      <c r="N7" s="6">
        <f>IF(ISBLANK(Overall!N7),"",Overall!N7)</f>
        <v>33185.240000000005</v>
      </c>
      <c r="O7" s="6">
        <f>IF(ISBLANK(Overall!O7),"",Overall!O7)</f>
        <v>12037.15</v>
      </c>
      <c r="P7" s="6">
        <f>IF(ISBLANK(Overall!P7),"",Overall!P7)</f>
        <v>1228.5999999999999</v>
      </c>
      <c r="Q7" s="6">
        <f>IF(ISBLANK(Overall!Q7),"",Overall!Q7)</f>
        <v>4441.38</v>
      </c>
      <c r="R7" s="6">
        <f>IF(ISBLANK(Overall!R7),"",Overall!R7)</f>
        <v>0</v>
      </c>
      <c r="S7" s="6">
        <f>IF(ISBLANK(Overall!S7),"",Overall!S7)</f>
        <v>319981.24</v>
      </c>
      <c r="T7" s="6">
        <f>IF(ISBLANK(Overall!T7),"",Overall!T7)</f>
        <v>0</v>
      </c>
      <c r="U7" s="6" t="str">
        <f>IF(ISBLANK(Overall!U7),"",Overall!U7)</f>
        <v/>
      </c>
      <c r="V7" s="6">
        <f>IF(ISBLANK(Overall!V7),"",Overall!V7)</f>
        <v>0</v>
      </c>
      <c r="W7" s="6" t="str">
        <f>IF(ISBLANK(Overall!W7),"",Overall!W7)</f>
        <v/>
      </c>
      <c r="X7" s="6">
        <f>IF(ISBLANK(Overall!X7),"",Overall!X7)</f>
        <v>0</v>
      </c>
      <c r="Y7" s="6" t="str">
        <f>IF(ISBLANK(Overall!Y7),"",Overall!Y7)</f>
        <v/>
      </c>
      <c r="Z7" s="6">
        <f>IF(ISBLANK(Overall!Z7),"",Overall!Z7)</f>
        <v>6607.12</v>
      </c>
      <c r="AA7" s="6" t="str">
        <f>IF(ISBLANK(Overall!AA7),"",Overall!AA7)</f>
        <v/>
      </c>
      <c r="AC7" s="10">
        <f t="shared" si="0"/>
        <v>1014774.5</v>
      </c>
    </row>
    <row r="8" spans="1:29" s="21" customFormat="1" x14ac:dyDescent="0.25">
      <c r="A8" s="26" t="str">
        <f>Overall!A8</f>
        <v>% of Admin Cost</v>
      </c>
      <c r="B8" s="8">
        <f>IF(ISBLANK(Overall!B8),"",Overall!B8)</f>
        <v>4.168053444792099E-2</v>
      </c>
      <c r="C8" s="8">
        <f>IF(ISBLANK(Overall!C8),"",Overall!C8)</f>
        <v>0</v>
      </c>
      <c r="D8" s="8">
        <f>IF(ISBLANK(Overall!D8),"",Overall!D8)</f>
        <v>2.1646421368974045E-2</v>
      </c>
      <c r="E8" s="8">
        <f>IF(ISBLANK(Overall!E8),"",Overall!E8)</f>
        <v>1.0915149074608629E-2</v>
      </c>
      <c r="F8" s="8">
        <f>IF(ISBLANK(Overall!F8),"",Overall!F8)</f>
        <v>4.962516323497064E-2</v>
      </c>
      <c r="G8" s="8">
        <f>IF(ISBLANK(Overall!G8),"",Overall!G8)</f>
        <v>2.9614732541050841E-2</v>
      </c>
      <c r="H8" s="8">
        <f>IF(ISBLANK(Overall!H8),"",Overall!H8)</f>
        <v>0.2390932942256383</v>
      </c>
      <c r="I8" s="8">
        <f>IF(ISBLANK(Overall!I8),"",Overall!I8)</f>
        <v>0</v>
      </c>
      <c r="J8" s="8">
        <f>IF(ISBLANK(Overall!J8),"",Overall!J8)</f>
        <v>0</v>
      </c>
      <c r="K8" s="8">
        <f>IF(ISBLANK(Overall!K8),"",Overall!K8)</f>
        <v>0</v>
      </c>
      <c r="L8" s="8" t="e">
        <f>IF(ISBLANK(Overall!L8),"",Overall!L8)</f>
        <v>#DIV/0!</v>
      </c>
      <c r="M8" s="8">
        <f>IF(ISBLANK(Overall!M8),"",Overall!M8)</f>
        <v>0.95054368932038835</v>
      </c>
      <c r="N8" s="8">
        <f>IF(ISBLANK(Overall!N8),"",Overall!N8)</f>
        <v>0.19337027649098276</v>
      </c>
      <c r="O8" s="8">
        <f>IF(ISBLANK(Overall!O8),"",Overall!O8)</f>
        <v>0.19445516480665465</v>
      </c>
      <c r="P8" s="8">
        <f>IF(ISBLANK(Overall!P8),"",Overall!P8)</f>
        <v>0.1268690623709211</v>
      </c>
      <c r="Q8" s="8">
        <f>IF(ISBLANK(Overall!Q8),"",Overall!Q8)</f>
        <v>0.78504425107247211</v>
      </c>
      <c r="R8" s="8">
        <f>IF(ISBLANK(Overall!R8),"",Overall!R8)</f>
        <v>0</v>
      </c>
      <c r="S8" s="8">
        <f>IF(ISBLANK(Overall!S8),"",Overall!S8)</f>
        <v>0.12978271092757226</v>
      </c>
      <c r="T8" s="8">
        <f>IF(ISBLANK(Overall!T8),"",Overall!T8)</f>
        <v>0</v>
      </c>
      <c r="U8" s="8" t="e">
        <f>IF(ISBLANK(Overall!U8),"",Overall!U8)</f>
        <v>#DIV/0!</v>
      </c>
      <c r="V8" s="8">
        <f>IF(ISBLANK(Overall!V8),"",Overall!V8)</f>
        <v>0</v>
      </c>
      <c r="W8" s="8">
        <f>IF(ISBLANK(Overall!W8),"",Overall!W8)</f>
        <v>0</v>
      </c>
      <c r="X8" s="8">
        <f>IF(ISBLANK(Overall!X8),"",Overall!X8)</f>
        <v>0</v>
      </c>
      <c r="Y8" s="8">
        <f>IF(ISBLANK(Overall!Y8),"",Overall!Y8)</f>
        <v>0</v>
      </c>
      <c r="Z8" s="8">
        <f>IF(ISBLANK(Overall!Z8),"",Overall!Z8)</f>
        <v>0.71128431478092369</v>
      </c>
      <c r="AA8" s="8" t="e">
        <f>IF(ISBLANK(Overall!AA8),"",Overall!AA8)</f>
        <v>#DIV/0!</v>
      </c>
      <c r="AC8" s="21">
        <f>AC7/AC6</f>
        <v>7.7153091247753589E-2</v>
      </c>
    </row>
    <row r="9" spans="1:29" s="10" customFormat="1" x14ac:dyDescent="0.25">
      <c r="A9" s="22" t="str">
        <f>Overall!A9</f>
        <v>Direct Expenditures</v>
      </c>
      <c r="B9" s="6">
        <f>IF(ISBLANK(Overall!B9),"",Overall!B9)</f>
        <v>4838817.58</v>
      </c>
      <c r="C9" s="6">
        <f>IF(ISBLANK(Overall!C9),"",Overall!C9)</f>
        <v>52413.46</v>
      </c>
      <c r="D9" s="6">
        <f>IF(ISBLANK(Overall!D9),"",Overall!D9)</f>
        <v>721562.35</v>
      </c>
      <c r="E9" s="6">
        <f>IF(ISBLANK(Overall!E9),"",Overall!E9)</f>
        <v>1520497.78</v>
      </c>
      <c r="F9" s="6">
        <f>IF(ISBLANK(Overall!F9),"",Overall!F9)</f>
        <v>988148.61</v>
      </c>
      <c r="G9" s="6">
        <f>IF(ISBLANK(Overall!G9),"",Overall!G9)</f>
        <v>77520.509999999995</v>
      </c>
      <c r="H9" s="6">
        <f>IF(ISBLANK(Overall!H9),"",Overall!H9)</f>
        <v>463391.88</v>
      </c>
      <c r="I9" s="6">
        <f>IF(ISBLANK(Overall!I9),"",Overall!I9)</f>
        <v>37143.81</v>
      </c>
      <c r="J9" s="6">
        <f>IF(ISBLANK(Overall!J9),"",Overall!J9)</f>
        <v>51605.440000000002</v>
      </c>
      <c r="K9" s="6">
        <f>IF(ISBLANK(Overall!K9),"",Overall!K9)</f>
        <v>140321</v>
      </c>
      <c r="L9" s="6">
        <f>IF(ISBLANK(Overall!L9),"",Overall!L9)</f>
        <v>0</v>
      </c>
      <c r="M9" s="6">
        <f>IF(ISBLANK(Overall!M9),"",Overall!M9)</f>
        <v>0</v>
      </c>
      <c r="N9" s="6">
        <f>IF(ISBLANK(Overall!N9),"",Overall!N9)</f>
        <v>72086.960000000006</v>
      </c>
      <c r="O9" s="6">
        <f>IF(ISBLANK(Overall!O9),"",Overall!O9)</f>
        <v>43560.01</v>
      </c>
      <c r="P9" s="6">
        <f>IF(ISBLANK(Overall!P9),"",Overall!P9)</f>
        <v>8027.76</v>
      </c>
      <c r="Q9" s="6" t="str">
        <f>IF(ISBLANK(Overall!Q9),"",Overall!Q9)</f>
        <v/>
      </c>
      <c r="R9" s="6">
        <f>IF(ISBLANK(Overall!R9),"",Overall!R9)</f>
        <v>263059.56</v>
      </c>
      <c r="S9" s="6">
        <f>IF(ISBLANK(Overall!S9),"",Overall!S9)</f>
        <v>2009134</v>
      </c>
      <c r="T9" s="6">
        <f>IF(ISBLANK(Overall!T9),"",Overall!T9)</f>
        <v>91743</v>
      </c>
      <c r="U9" s="6" t="str">
        <f>IF(ISBLANK(Overall!U9),"",Overall!U9)</f>
        <v/>
      </c>
      <c r="V9" s="6">
        <f>IF(ISBLANK(Overall!V9),"",Overall!V9)</f>
        <v>34950.080000000002</v>
      </c>
      <c r="W9" s="6">
        <f>IF(ISBLANK(Overall!W9),"",Overall!W9)</f>
        <v>5821</v>
      </c>
      <c r="X9" s="6">
        <f>IF(ISBLANK(Overall!X9),"",Overall!X9)</f>
        <v>33340</v>
      </c>
      <c r="Y9" s="6">
        <f>IF(ISBLANK(Overall!Y9),"",Overall!Y9)</f>
        <v>5783</v>
      </c>
      <c r="Z9" s="6">
        <f>IF(ISBLANK(Overall!Z9),"",Overall!Z9)</f>
        <v>0</v>
      </c>
      <c r="AA9" s="6" t="str">
        <f>IF(ISBLANK(Overall!AA9),"",Overall!AA9)</f>
        <v/>
      </c>
      <c r="AC9" s="10">
        <f>SUM(B9:AB9)</f>
        <v>11458927.790000001</v>
      </c>
    </row>
    <row r="10" spans="1:29" s="21" customFormat="1" x14ac:dyDescent="0.25">
      <c r="A10" s="26" t="str">
        <f>Overall!A10</f>
        <v>% of Direct Expenditures</v>
      </c>
      <c r="B10" s="8">
        <f>IF(ISBLANK(Overall!B10),"",Overall!B10)</f>
        <v>0.93677679445740225</v>
      </c>
      <c r="C10" s="8">
        <f>IF(ISBLANK(Overall!C10),"",Overall!C10)</f>
        <v>1</v>
      </c>
      <c r="D10" s="8">
        <f>IF(ISBLANK(Overall!D10),"",Overall!D10)</f>
        <v>0.92666819766679076</v>
      </c>
      <c r="E10" s="8">
        <f>IF(ISBLANK(Overall!E10),"",Overall!E10)</f>
        <v>0.98473512607069624</v>
      </c>
      <c r="F10" s="8">
        <f>IF(ISBLANK(Overall!F10),"",Overall!F10)</f>
        <v>0.93023491884346732</v>
      </c>
      <c r="G10" s="8">
        <f>IF(ISBLANK(Overall!G10),"",Overall!G10)</f>
        <v>0.69450301612289955</v>
      </c>
      <c r="H10" s="8">
        <f>IF(ISBLANK(Overall!H10),"",Overall!H10)</f>
        <v>0.50435051847684698</v>
      </c>
      <c r="I10" s="8">
        <f>IF(ISBLANK(Overall!I10),"",Overall!I10)</f>
        <v>1</v>
      </c>
      <c r="J10" s="8">
        <f>IF(ISBLANK(Overall!J10),"",Overall!J10)</f>
        <v>1</v>
      </c>
      <c r="K10" s="8">
        <f>IF(ISBLANK(Overall!K10),"",Overall!K10)</f>
        <v>1</v>
      </c>
      <c r="L10" s="8" t="e">
        <f>IF(ISBLANK(Overall!L10),"",Overall!L10)</f>
        <v>#DIV/0!</v>
      </c>
      <c r="M10" s="8">
        <f>IF(ISBLANK(Overall!M10),"",Overall!M10)</f>
        <v>0</v>
      </c>
      <c r="N10" s="8">
        <f>IF(ISBLANK(Overall!N10),"",Overall!N10)</f>
        <v>0.42005046178947064</v>
      </c>
      <c r="O10" s="8">
        <f>IF(ISBLANK(Overall!O10),"",Overall!O10)</f>
        <v>0.7036938912890115</v>
      </c>
      <c r="P10" s="8">
        <f>IF(ISBLANK(Overall!P10),"",Overall!P10)</f>
        <v>0.82897149938042136</v>
      </c>
      <c r="Q10" s="8">
        <f>IF(ISBLANK(Overall!Q10),"",Overall!Q10)</f>
        <v>0</v>
      </c>
      <c r="R10" s="8">
        <f>IF(ISBLANK(Overall!R10),"",Overall!R10)</f>
        <v>1</v>
      </c>
      <c r="S10" s="8">
        <f>IF(ISBLANK(Overall!S10),"",Overall!S10)</f>
        <v>0.81489420172494176</v>
      </c>
      <c r="T10" s="8">
        <f>IF(ISBLANK(Overall!T10),"",Overall!T10)</f>
        <v>1</v>
      </c>
      <c r="U10" s="8" t="e">
        <f>IF(ISBLANK(Overall!U10),"",Overall!U10)</f>
        <v>#DIV/0!</v>
      </c>
      <c r="V10" s="8">
        <f>IF(ISBLANK(Overall!V10),"",Overall!V10)</f>
        <v>0.83331537159342894</v>
      </c>
      <c r="W10" s="8">
        <f>IF(ISBLANK(Overall!W10),"",Overall!W10)</f>
        <v>1</v>
      </c>
      <c r="X10" s="8">
        <f>IF(ISBLANK(Overall!X10),"",Overall!X10)</f>
        <v>0.83333333333333337</v>
      </c>
      <c r="Y10" s="8">
        <f>IF(ISBLANK(Overall!Y10),"",Overall!Y10)</f>
        <v>1</v>
      </c>
      <c r="Z10" s="8">
        <f>IF(ISBLANK(Overall!Z10),"",Overall!Z10)</f>
        <v>0</v>
      </c>
      <c r="AA10" s="8" t="e">
        <f>IF(ISBLANK(Overall!AA10),"",Overall!AA10)</f>
        <v>#DIV/0!</v>
      </c>
      <c r="AC10" s="21">
        <f>AC9/AC6</f>
        <v>0.87121986350986302</v>
      </c>
    </row>
    <row r="11" spans="1:29" s="10" customFormat="1" x14ac:dyDescent="0.25">
      <c r="A11" s="22" t="str">
        <f>Overall!A11</f>
        <v>Indirect Expenditures</v>
      </c>
      <c r="B11" s="6">
        <f>IF(ISBLANK(Overall!B11),"",Overall!B11)</f>
        <v>86276.3</v>
      </c>
      <c r="C11" s="6">
        <f>IF(ISBLANK(Overall!C11),"",Overall!C11)</f>
        <v>0</v>
      </c>
      <c r="D11" s="6">
        <f>IF(ISBLANK(Overall!D11),"",Overall!D11)</f>
        <v>6714.73</v>
      </c>
      <c r="E11" s="6">
        <f>IF(ISBLANK(Overall!E11),"",Overall!E11)</f>
        <v>6716.27</v>
      </c>
      <c r="F11" s="6">
        <f>IF(ISBLANK(Overall!F11),"",Overall!F11)</f>
        <v>21393.77</v>
      </c>
      <c r="G11" s="6">
        <f>IF(ISBLANK(Overall!G11),"",Overall!G11)</f>
        <v>0</v>
      </c>
      <c r="H11" s="6">
        <f>IF(ISBLANK(Overall!H11),"",Overall!H11)</f>
        <v>91575.66</v>
      </c>
      <c r="I11" s="6">
        <f>IF(ISBLANK(Overall!I11),"",Overall!I11)</f>
        <v>0</v>
      </c>
      <c r="J11" s="6">
        <f>IF(ISBLANK(Overall!J11),"",Overall!J11)</f>
        <v>0</v>
      </c>
      <c r="K11" s="6">
        <f>IF(ISBLANK(Overall!K11),"",Overall!K11)</f>
        <v>0</v>
      </c>
      <c r="L11" s="6" t="str">
        <f>IF(ISBLANK(Overall!L11),"",Overall!L11)</f>
        <v/>
      </c>
      <c r="M11" s="6">
        <f>IF(ISBLANK(Overall!M11),"",Overall!M11)</f>
        <v>5858.1</v>
      </c>
      <c r="N11" s="6">
        <f>IF(ISBLANK(Overall!N11),"",Overall!N11)</f>
        <v>13368.830000000002</v>
      </c>
      <c r="O11" s="6">
        <f>IF(ISBLANK(Overall!O11),"",Overall!O11)</f>
        <v>4766.8500000000004</v>
      </c>
      <c r="P11" s="6">
        <f>IF(ISBLANK(Overall!P11),"",Overall!P11)</f>
        <v>427.64</v>
      </c>
      <c r="Q11" s="6">
        <f>IF(ISBLANK(Overall!Q11),"",Overall!Q11)</f>
        <v>1216.1099999999999</v>
      </c>
      <c r="R11" s="6">
        <f>IF(ISBLANK(Overall!R11),"",Overall!R11)</f>
        <v>0</v>
      </c>
      <c r="S11" s="6">
        <f>IF(ISBLANK(Overall!S11),"",Overall!S11)</f>
        <v>136399.91</v>
      </c>
      <c r="T11" s="6">
        <f>IF(ISBLANK(Overall!T11),"",Overall!T11)</f>
        <v>0</v>
      </c>
      <c r="U11" s="6" t="str">
        <f>IF(ISBLANK(Overall!U11),"",Overall!U11)</f>
        <v/>
      </c>
      <c r="V11" s="6">
        <f>IF(ISBLANK(Overall!V11),"",Overall!V11)</f>
        <v>0</v>
      </c>
      <c r="W11" s="6" t="str">
        <f>IF(ISBLANK(Overall!W11),"",Overall!W11)</f>
        <v/>
      </c>
      <c r="X11" s="6">
        <f>IF(ISBLANK(Overall!X11),"",Overall!X11)</f>
        <v>0</v>
      </c>
      <c r="Y11" s="6" t="str">
        <f>IF(ISBLANK(Overall!Y11),"",Overall!Y11)</f>
        <v/>
      </c>
      <c r="Z11" s="6">
        <f>IF(ISBLANK(Overall!Z11),"",Overall!Z11)</f>
        <v>2681.88</v>
      </c>
      <c r="AA11" s="6" t="str">
        <f>IF(ISBLANK(Overall!AA11),"",Overall!AA11)</f>
        <v/>
      </c>
      <c r="AC11" s="10">
        <f>SUM(B11:AB11)</f>
        <v>377396.05000000005</v>
      </c>
    </row>
    <row r="12" spans="1:29" s="21" customFormat="1" x14ac:dyDescent="0.25">
      <c r="A12" s="26" t="str">
        <f>Overall!A12</f>
        <v>% of Indirect Expenditures</v>
      </c>
      <c r="B12" s="8">
        <f>IF(ISBLANK(Overall!B12),"",Overall!B12)</f>
        <v>1.6702765585894473E-2</v>
      </c>
      <c r="C12" s="8">
        <f>IF(ISBLANK(Overall!C12),"",Overall!C12)</f>
        <v>0</v>
      </c>
      <c r="D12" s="8">
        <f>IF(ISBLANK(Overall!D12),"",Overall!D12)</f>
        <v>8.6234082847021186E-3</v>
      </c>
      <c r="E12" s="8">
        <f>IF(ISBLANK(Overall!E12),"",Overall!E12)</f>
        <v>4.3497248546951741E-3</v>
      </c>
      <c r="F12" s="8">
        <f>IF(ISBLANK(Overall!F12),"",Overall!F12)</f>
        <v>2.013991792156223E-2</v>
      </c>
      <c r="G12" s="8">
        <f>IF(ISBLANK(Overall!G12),"",Overall!G12)</f>
        <v>0</v>
      </c>
      <c r="H12" s="8">
        <f>IF(ISBLANK(Overall!H12),"",Overall!H12)</f>
        <v>9.9669919984052058E-2</v>
      </c>
      <c r="I12" s="8">
        <f>IF(ISBLANK(Overall!I12),"",Overall!I12)</f>
        <v>0</v>
      </c>
      <c r="J12" s="8">
        <f>IF(ISBLANK(Overall!J12),"",Overall!J12)</f>
        <v>0</v>
      </c>
      <c r="K12" s="8">
        <f>IF(ISBLANK(Overall!K12),"",Overall!K12)</f>
        <v>0</v>
      </c>
      <c r="L12" s="8" t="e">
        <f>IF(ISBLANK(Overall!L12),"",Overall!L12)</f>
        <v>#DIV/0!</v>
      </c>
      <c r="M12" s="8">
        <f>IF(ISBLANK(Overall!M12),"",Overall!M12)</f>
        <v>4.9456310679611655E-2</v>
      </c>
      <c r="N12" s="8">
        <f>IF(ISBLANK(Overall!N12),"",Overall!N12)</f>
        <v>7.7900125280424212E-2</v>
      </c>
      <c r="O12" s="8">
        <f>IF(ISBLANK(Overall!O12),"",Overall!O12)</f>
        <v>7.7006484288938984E-2</v>
      </c>
      <c r="P12" s="8">
        <f>IF(ISBLANK(Overall!P12),"",Overall!P12)</f>
        <v>4.4159438248657576E-2</v>
      </c>
      <c r="Q12" s="8">
        <f>IF(ISBLANK(Overall!Q12),"",Overall!Q12)</f>
        <v>0.21495574892752792</v>
      </c>
      <c r="R12" s="8">
        <f>IF(ISBLANK(Overall!R12),"",Overall!R12)</f>
        <v>0</v>
      </c>
      <c r="S12" s="8">
        <f>IF(ISBLANK(Overall!S12),"",Overall!S12)</f>
        <v>5.5323087347485984E-2</v>
      </c>
      <c r="T12" s="8">
        <f>IF(ISBLANK(Overall!T12),"",Overall!T12)</f>
        <v>0</v>
      </c>
      <c r="U12" s="8" t="e">
        <f>IF(ISBLANK(Overall!U12),"",Overall!U12)</f>
        <v>#DIV/0!</v>
      </c>
      <c r="V12" s="8">
        <f>IF(ISBLANK(Overall!V12),"",Overall!V12)</f>
        <v>0</v>
      </c>
      <c r="W12" s="8">
        <f>IF(ISBLANK(Overall!W12),"",Overall!W12)</f>
        <v>0</v>
      </c>
      <c r="X12" s="8">
        <f>IF(ISBLANK(Overall!X12),"",Overall!X12)</f>
        <v>0</v>
      </c>
      <c r="Y12" s="8">
        <f>IF(ISBLANK(Overall!Y12),"",Overall!Y12)</f>
        <v>0</v>
      </c>
      <c r="Z12" s="8">
        <f>IF(ISBLANK(Overall!Z12),"",Overall!Z12)</f>
        <v>0.28871568521907631</v>
      </c>
      <c r="AA12" s="8" t="e">
        <f>IF(ISBLANK(Overall!AA12),"",Overall!AA12)</f>
        <v>#DIV/0!</v>
      </c>
      <c r="AC12" s="21">
        <f>AC11/AC6</f>
        <v>2.8693342099345008E-2</v>
      </c>
    </row>
    <row r="13" spans="1:29" s="10" customFormat="1" x14ac:dyDescent="0.25">
      <c r="A13" s="22" t="str">
        <f>Overall!A13</f>
        <v>Unexpended Funds</v>
      </c>
      <c r="B13" s="6">
        <f>IF(ISBLANK(Overall!B13),"",Overall!B13)</f>
        <v>25000</v>
      </c>
      <c r="C13" s="6">
        <f>IF(ISBLANK(Overall!C13),"",Overall!C13)</f>
        <v>0</v>
      </c>
      <c r="D13" s="6">
        <f>IF(ISBLANK(Overall!D13),"",Overall!D13)</f>
        <v>33530.770000000004</v>
      </c>
      <c r="E13" s="6">
        <f>IF(ISBLANK(Overall!E13),"",Overall!E13)</f>
        <v>0</v>
      </c>
      <c r="F13" s="6">
        <f>IF(ISBLANK(Overall!F13),"",Overall!F13)</f>
        <v>0</v>
      </c>
      <c r="G13" s="6">
        <f>IF(ISBLANK(Overall!G13),"",Overall!G13)</f>
        <v>30794.010000000009</v>
      </c>
      <c r="H13" s="6">
        <f>IF(ISBLANK(Overall!H13),"",Overall!H13)</f>
        <v>144145.42999999996</v>
      </c>
      <c r="I13" s="6">
        <f>IF(ISBLANK(Overall!I13),"",Overall!I13)</f>
        <v>0</v>
      </c>
      <c r="J13" s="6">
        <f>IF(ISBLANK(Overall!J13),"",Overall!J13)</f>
        <v>0</v>
      </c>
      <c r="K13" s="6">
        <f>IF(ISBLANK(Overall!K13),"",Overall!K13)</f>
        <v>0</v>
      </c>
      <c r="L13" s="6">
        <f>IF(ISBLANK(Overall!L13),"",Overall!L13)</f>
        <v>0</v>
      </c>
      <c r="M13" s="6">
        <f>IF(ISBLANK(Overall!M13),"",Overall!M13)</f>
        <v>0</v>
      </c>
      <c r="N13" s="6">
        <f>IF(ISBLANK(Overall!N13),"",Overall!N13)</f>
        <v>52973.97</v>
      </c>
      <c r="O13" s="6">
        <f>IF(ISBLANK(Overall!O13),"",Overall!O13)</f>
        <v>1537.9199999999964</v>
      </c>
      <c r="P13" s="6">
        <f>IF(ISBLANK(Overall!P13),"",Overall!P13)</f>
        <v>0</v>
      </c>
      <c r="Q13" s="6">
        <f>IF(ISBLANK(Overall!Q13),"",Overall!Q13)</f>
        <v>0</v>
      </c>
      <c r="R13" s="6">
        <f>IF(ISBLANK(Overall!R13),"",Overall!R13)</f>
        <v>0</v>
      </c>
      <c r="S13" s="6">
        <f>IF(ISBLANK(Overall!S13),"",Overall!S13)</f>
        <v>0</v>
      </c>
      <c r="T13" s="6">
        <f>IF(ISBLANK(Overall!T13),"",Overall!T13)</f>
        <v>0</v>
      </c>
      <c r="U13" s="6">
        <f>IF(ISBLANK(Overall!U13),"",Overall!U13)</f>
        <v>0</v>
      </c>
      <c r="V13" s="6">
        <f>IF(ISBLANK(Overall!V13),"",Overall!V13)</f>
        <v>6990.9199999999983</v>
      </c>
      <c r="W13" s="6">
        <f>IF(ISBLANK(Overall!W13),"",Overall!W13)</f>
        <v>0</v>
      </c>
      <c r="X13" s="6">
        <f>IF(ISBLANK(Overall!X13),"",Overall!X13)</f>
        <v>6668</v>
      </c>
      <c r="Y13" s="6">
        <f>IF(ISBLANK(Overall!Y13),"",Overall!Y13)</f>
        <v>0</v>
      </c>
      <c r="Z13" s="6">
        <f>IF(ISBLANK(Overall!Z13),"",Overall!Z13)</f>
        <v>0</v>
      </c>
      <c r="AA13" s="6">
        <f>IF(ISBLANK(Overall!AA13),"",Overall!AA13)</f>
        <v>0</v>
      </c>
      <c r="AC13" s="10">
        <f>SUM(B13:AB13)</f>
        <v>301641.0199999999</v>
      </c>
    </row>
    <row r="14" spans="1:29" ht="131.25" customHeight="1" x14ac:dyDescent="0.25">
      <c r="A14" s="25" t="str">
        <f>Overall!A14</f>
        <v>Explanation of Unexpended Funds</v>
      </c>
      <c r="B14" s="5" t="str">
        <f>IF(ISBLANK(Overall!B14),"",Overall!B14)</f>
        <v>Federal unexpended funds left in admin budget due to less staff traveling to conferences  than budgeted for. Fund left to supplement provider's FY26 budget that is smaller than previous years that had ARPA fund included</v>
      </c>
      <c r="C14" s="7" t="str">
        <f>IF(ISBLANK(Overall!C14),"",Overall!C14)</f>
        <v/>
      </c>
      <c r="D14" s="5" t="str">
        <f>IF(ISBLANK(Overall!D14),"",Overall!D14)</f>
        <v xml:space="preserve">Was expending from ESMP fund first as ESMP had priority over other meal funds. </v>
      </c>
      <c r="E14" s="5" t="str">
        <f>IF(ISBLANK(Overall!E14),"",Overall!E14)</f>
        <v/>
      </c>
      <c r="F14" s="5" t="str">
        <f>IF(ISBLANK(Overall!F14),"",Overall!F14)</f>
        <v/>
      </c>
      <c r="G14" s="5" t="str">
        <f>IF(ISBLANK(Overall!G14),"",Overall!G14)</f>
        <v>Large amount of ARPA Unexpended from FY24</v>
      </c>
      <c r="H14" s="5" t="str">
        <f>IF(ISBLANK(Overall!H14),"",Overall!H14)</f>
        <v>Large amount of Federal Unexpended and ARPA Unexpended from FY24.</v>
      </c>
      <c r="I14" s="7" t="str">
        <f>IF(ISBLANK(Overall!I14),"",Overall!I14)</f>
        <v/>
      </c>
      <c r="J14" s="7" t="str">
        <f>IF(ISBLANK(Overall!J14),"",Overall!J14)</f>
        <v/>
      </c>
      <c r="K14" s="7" t="str">
        <f>IF(ISBLANK(Overall!K14),"",Overall!K14)</f>
        <v/>
      </c>
      <c r="L14" s="7" t="str">
        <f>IF(ISBLANK(Overall!L14),"",Overall!L14)</f>
        <v/>
      </c>
      <c r="M14" s="5" t="str">
        <f>IF(ISBLANK(Overall!M14),"",Overall!M14)</f>
        <v/>
      </c>
      <c r="N14" s="7" t="str">
        <f>IF(ISBLANK(Overall!N14),"",Overall!N14)</f>
        <v>Difficult to get clients into program. Program is also fairly young.</v>
      </c>
      <c r="O14" s="5" t="str">
        <f>IF(ISBLANK(Overall!O14),"",Overall!O14)</f>
        <v>Program is fairly young and has more income limitation than TIIIE, difficult to get clients into program.</v>
      </c>
      <c r="P14" s="5" t="str">
        <f>IF(ISBLANK(Overall!P14),"",Overall!P14)</f>
        <v/>
      </c>
      <c r="Q14" s="5" t="str">
        <f>IF(ISBLANK(Overall!Q14),"",Overall!Q14)</f>
        <v/>
      </c>
      <c r="R14" s="5" t="str">
        <f>IF(ISBLANK(Overall!R14),"",Overall!R14)</f>
        <v/>
      </c>
      <c r="S14" s="7" t="str">
        <f>IF(ISBLANK(Overall!S14),"",Overall!S14)</f>
        <v/>
      </c>
      <c r="T14" s="5" t="str">
        <f>IF(ISBLANK(Overall!T14),"",Overall!T14)</f>
        <v/>
      </c>
      <c r="U14" s="7" t="str">
        <f>IF(ISBLANK(Overall!U14),"",Overall!U14)</f>
        <v/>
      </c>
      <c r="V14" s="7" t="str">
        <f>IF(ISBLANK(Overall!V14),"",Overall!V14)</f>
        <v>Monthly amount provider save for reminder of contract.</v>
      </c>
      <c r="W14" s="5" t="str">
        <f>IF(ISBLANK(Overall!W14),"",Overall!W14)</f>
        <v/>
      </c>
      <c r="X14" s="7" t="str">
        <f>IF(ISBLANK(Overall!X14),"",Overall!X14)</f>
        <v>Monthly amount provider save for reminder of contract.</v>
      </c>
      <c r="Y14" s="5" t="str">
        <f>IF(ISBLANK(Overall!Y14),"",Overall!Y14)</f>
        <v/>
      </c>
      <c r="Z14" s="5" t="str">
        <f>IF(ISBLANK(Overall!Z14),"",Overall!Z14)</f>
        <v/>
      </c>
      <c r="AA14" s="5" t="str">
        <f>IF(ISBLANK(Overall!AA14),"",Overall!AA14)</f>
        <v/>
      </c>
    </row>
    <row r="16" spans="1:29" s="1" customFormat="1" ht="82.5" customHeight="1" x14ac:dyDescent="0.25">
      <c r="A16" s="5" t="str">
        <f>Overall!A16</f>
        <v>List of Direct Services provided by ADD</v>
      </c>
      <c r="B16" s="5" t="str">
        <f>IF(ISBLANK(Overall!B16),"",Overall!B16)</f>
        <v>ADRC</v>
      </c>
      <c r="C16" s="5" t="str">
        <f>IF(ISBLANK(Overall!C16),"",Overall!C16)</f>
        <v>n/a</v>
      </c>
      <c r="D16" s="5" t="str">
        <f>IF(ISBLANK(Overall!D16),"",Overall!D16)</f>
        <v>n/a</v>
      </c>
      <c r="E16" s="5" t="str">
        <f>IF(ISBLANK(Overall!E16),"",Overall!E16)</f>
        <v>n/a</v>
      </c>
      <c r="F16" s="5" t="str">
        <f>IF(ISBLANK(Overall!F16),"",Overall!F16)</f>
        <v/>
      </c>
      <c r="G16" s="5" t="str">
        <f>IF(ISBLANK(Overall!G16),"",Overall!G16)</f>
        <v>n/a</v>
      </c>
      <c r="H16" s="5" t="str">
        <f>IF(ISBLANK(Overall!H16),"",Overall!H16)</f>
        <v>ADRC, Information, Assistance, Counseling, Support Groups, Training</v>
      </c>
      <c r="I16" s="5" t="str">
        <f>IF(ISBLANK(Overall!I16),"",Overall!I16)</f>
        <v>n/a</v>
      </c>
      <c r="J16" s="5" t="str">
        <f>IF(ISBLANK(Overall!J16),"",Overall!J16)</f>
        <v>n/a</v>
      </c>
      <c r="K16" s="5" t="str">
        <f>IF(ISBLANK(Overall!K16),"",Overall!K16)</f>
        <v>n/a</v>
      </c>
      <c r="L16" s="5" t="str">
        <f>IF(ISBLANK(Overall!L16),"",Overall!L16)</f>
        <v>n/a</v>
      </c>
      <c r="M16" s="5" t="str">
        <f>IF(ISBLANK(Overall!M16),"",Overall!M16)</f>
        <v/>
      </c>
      <c r="N16" s="5" t="str">
        <f>IF(ISBLANK(Overall!N16),"",Overall!N16)</f>
        <v>Case Management and Assessment</v>
      </c>
      <c r="O16" s="5" t="str">
        <f>IF(ISBLANK(Overall!O16),"",Overall!O16)</f>
        <v/>
      </c>
      <c r="P16" s="5" t="str">
        <f>IF(ISBLANK(Overall!P16),"",Overall!P16)</f>
        <v/>
      </c>
      <c r="Q16" s="5" t="str">
        <f>IF(ISBLANK(Overall!Q16),"",Overall!Q16)</f>
        <v/>
      </c>
      <c r="R16" s="5" t="str">
        <f>IF(ISBLANK(Overall!R16),"",Overall!R16)</f>
        <v>n/a</v>
      </c>
      <c r="S16" s="5" t="str">
        <f>IF(ISBLANK(Overall!S16),"",Overall!S16)</f>
        <v>ADRC</v>
      </c>
      <c r="T16" s="5" t="str">
        <f>IF(ISBLANK(Overall!T16),"",Overall!T16)</f>
        <v>n/a</v>
      </c>
      <c r="U16" s="5" t="str">
        <f>IF(ISBLANK(Overall!U16),"",Overall!U16)</f>
        <v>n/a</v>
      </c>
      <c r="V16" s="5" t="str">
        <f>IF(ISBLANK(Overall!V16),"",Overall!V16)</f>
        <v>n/a</v>
      </c>
      <c r="W16" s="5" t="str">
        <f>IF(ISBLANK(Overall!W16),"",Overall!W16)</f>
        <v>n/a</v>
      </c>
      <c r="X16" s="5" t="str">
        <f>IF(ISBLANK(Overall!X16),"",Overall!X16)</f>
        <v>n/a</v>
      </c>
      <c r="Y16" s="5" t="str">
        <f>IF(ISBLANK(Overall!Y16),"",Overall!Y16)</f>
        <v>n/a</v>
      </c>
      <c r="Z16" s="5" t="str">
        <f>IF(ISBLANK(Overall!Z16),"",Overall!Z16)</f>
        <v>I&amp;A</v>
      </c>
      <c r="AA16" s="5" t="str">
        <f>IF(ISBLANK(Overall!AA16),"",Overall!AA16)</f>
        <v>I&amp;A</v>
      </c>
    </row>
    <row r="18" spans="1:27" ht="180" customHeight="1" x14ac:dyDescent="0.25">
      <c r="A18" s="73" t="str">
        <f>Overall!A18</f>
        <v>Direct Service Providers/Contractors Contracted by ADD and services provided</v>
      </c>
      <c r="B18" s="70" t="str">
        <f>IF(ISBLANK(Overall!B18),"",Overall!B18)</f>
        <v>Bluegrass CAP, Kentucky River Foothills CAP, Boyle Co Senior Center, Estill Co Fiscal Court, LFUCG, Franklin Co Council on Aging, Harrison Co Commission on Aging, Lincoln Co Senior Center, Nicholas Co Senior Center, Northern KY Legal Aid of the Bluegrass :  All III-B Services</v>
      </c>
      <c r="C18" s="70" t="str">
        <f>IF(ISBLANK(Overall!C18),"",Overall!C18)</f>
        <v>Nursing Home Ombudsman Agency of the Bluegrass:  III-B Ombudsman Services</v>
      </c>
      <c r="D18" s="70" t="str">
        <f>IF(ISBLANK(Overall!D18),"",Overall!D18)</f>
        <v>Bluegrass CAP, Kentucky River Foothills CAP, Boyle Co Senior Center, Estill Co Fiscal Court, Franklin Co Council on Aging, Harrison Co Commission on Aging, Lincoln Co Senior Center, Nicholas Co Senior Center:  Congregate Meals</v>
      </c>
      <c r="E18" s="70" t="str">
        <f>IF(ISBLANK(Overall!E18),"",Overall!E18)</f>
        <v>Bluegrass CAP, Kentucky River Foothills CAP, Boyle Co Senior Center, Estill Co Fiscal Court, Franklin Co Council on Aging, Harrison Co Commission on Aging, Lincoln Co Senior Center, Nicholas Co Senior Center:  Home Delivered Meals</v>
      </c>
      <c r="F18" s="70" t="str">
        <f>IF(ISBLANK(Overall!F18),"",Overall!F18)</f>
        <v>Bluegrass CAP, Kentucky River Foothills CAP, Boyle Co Senior Center, Estill Co Fiscal Court, Franklin Co Council on Aging, Harrison Co Commission on Aging, Lincoln Co Senior Center, Nicholas Co Senior Center:  Home Delivered Meals</v>
      </c>
      <c r="G18" s="70" t="str">
        <f>IF(ISBLANK(Overall!G18),"",Overall!G18)</f>
        <v>Bluegrass CAP, Kentucky River Foothills CAP, Boyle Co Senior Center, Estill Co Fiscal Court, LFUCG, Franklin Co Council on Aging, Lincoln Co Senior Center, Nicholas Co Senior Center, Victoria Wells, Dr. Bill Durbin, Rebecca Hannifan: All Approved III-D Services</v>
      </c>
      <c r="H18" s="70" t="str">
        <f>IF(ISBLANK(Overall!H18),"",Overall!H18)</f>
        <v>Independence Assistance of the Bluegrass, Grogan's, Wal-mart, individuals:  Respite, Supplemental, Cash &amp; Counseling, Cash &amp; Counseling Respite</v>
      </c>
      <c r="I18" s="70" t="str">
        <f>IF(ISBLANK(Overall!I18),"",Overall!I18)</f>
        <v>Nursing Home Ombudsman Agency of the Bluegrass:  Elder Abuse services</v>
      </c>
      <c r="J18" s="70" t="str">
        <f>IF(ISBLANK(Overall!J18),"",Overall!J18)</f>
        <v>Nursing Home Ombudsman Agency of the Bluegrass:  TVII Ombudsman services</v>
      </c>
      <c r="K18" s="70" t="str">
        <f>IF(ISBLANK(Overall!K18),"",Overall!K18)</f>
        <v>Bluegrass CAP: Congregate and Home Delivered Meals (food cost only)</v>
      </c>
      <c r="L18" s="70" t="str">
        <f>IF(ISBLANK(Overall!L18),"",Overall!L18)</f>
        <v>Bluegrass CAP: Congregate and Home Delivered Meals (food cost only)</v>
      </c>
      <c r="M18" s="5" t="str">
        <f>IF(ISBLANK(Overall!M18),"",Overall!M18)</f>
        <v/>
      </c>
      <c r="N18" s="5" t="str">
        <f>IF(ISBLANK(Overall!N18),"",Overall!N18)</f>
        <v>Respite, Assistive Technology, Training/Education</v>
      </c>
      <c r="O18" s="70" t="str">
        <f>IF(ISBLANK(Overall!O18),"",Overall!O18)</f>
        <v/>
      </c>
      <c r="P18" s="70" t="str">
        <f>IF(ISBLANK(Overall!P18),"",Overall!P18)</f>
        <v/>
      </c>
      <c r="Q18" s="70" t="str">
        <f>IF(ISBLANK(Overall!Q18),"",Overall!Q18)</f>
        <v/>
      </c>
      <c r="R18" s="70" t="str">
        <f>IF(ISBLANK(Overall!R18),"",Overall!R18)</f>
        <v>Nursing Home Ombudsman Agency of the Bluegrass:  LTC Ombudsman services</v>
      </c>
      <c r="S18" s="70" t="str">
        <f>IF(ISBLANK(Overall!S18),"",Overall!S18)</f>
        <v>Bluegrass CAP, All Ways Caring Homecare, Independence Assistance of the Bluegrass, Lifeline Homecare: All Homecare Services (Case Mgmt provided by Bluegrass CAP only)</v>
      </c>
      <c r="T18" s="70" t="str">
        <f>IF(ISBLANK(Overall!T18),"",Overall!T18)</f>
        <v>Northern KY Legal Aid of the Bluegrass:  SHIP services</v>
      </c>
      <c r="U18" s="70" t="str">
        <f>IF(ISBLANK(Overall!U18),"",Overall!U18)</f>
        <v>Northern KY Legal Aid of the Bluegrass</v>
      </c>
      <c r="V18" s="5" t="str">
        <f>IF(ISBLANK(Overall!V18),"",Overall!V18)</f>
        <v>Northern KY Legal Aid of the Bluegrass: MIPPA-SHIP Services</v>
      </c>
      <c r="W18" s="70" t="str">
        <f>IF(ISBLANK(Overall!W18),"",Overall!W18)</f>
        <v>Northern KY Legal Aid of the Bluegrass: MIPPA-SHIP Services</v>
      </c>
      <c r="X18" s="5" t="str">
        <f>IF(ISBLANK(Overall!X18),"",Overall!X18)</f>
        <v>Northern KY Legal Aid of the Bluegrass: MIPPA-AAA Services</v>
      </c>
      <c r="Y18" s="70" t="str">
        <f>IF(ISBLANK(Overall!Y18),"",Overall!Y18)</f>
        <v>Northern KY Legal Aid of the Bluegrass: MIPPA-AAA Services</v>
      </c>
      <c r="Z18" s="70" t="str">
        <f>IF(ISBLANK(Overall!Z18),"",Overall!Z18)</f>
        <v>n/a</v>
      </c>
      <c r="AA18" s="70" t="str">
        <f>IF(ISBLANK(Overall!AA18),"",Overall!AA18)</f>
        <v>n/a</v>
      </c>
    </row>
    <row r="19" spans="1:27" s="1" customFormat="1" x14ac:dyDescent="0.25">
      <c r="A19" s="73"/>
      <c r="B19" s="71"/>
      <c r="C19" s="71"/>
      <c r="D19" s="71"/>
      <c r="E19" s="71"/>
      <c r="F19" s="71"/>
      <c r="G19" s="71"/>
      <c r="H19" s="71"/>
      <c r="I19" s="71"/>
      <c r="J19" s="71"/>
      <c r="K19" s="71"/>
      <c r="L19" s="71"/>
      <c r="M19" s="5" t="str">
        <f>IF(ISBLANK(Overall!M19),"",Overall!M19)</f>
        <v/>
      </c>
      <c r="N19" s="5" t="str">
        <f>IF(ISBLANK(Overall!N19),"",Overall!N19)</f>
        <v/>
      </c>
      <c r="O19" s="71"/>
      <c r="P19" s="71"/>
      <c r="Q19" s="71"/>
      <c r="R19" s="71"/>
      <c r="S19" s="71"/>
      <c r="T19" s="71"/>
      <c r="U19" s="71"/>
      <c r="V19" s="5" t="str">
        <f>IF(ISBLANK(Overall!V19),"",Overall!V19)</f>
        <v/>
      </c>
      <c r="W19" s="71"/>
      <c r="X19" s="5" t="str">
        <f>IF(ISBLANK(Overall!X19),"",Overall!X19)</f>
        <v/>
      </c>
      <c r="Y19" s="71"/>
      <c r="Z19" s="71"/>
      <c r="AA19" s="71"/>
    </row>
    <row r="20" spans="1:27" s="1" customFormat="1" x14ac:dyDescent="0.25">
      <c r="A20" s="73"/>
      <c r="B20" s="71"/>
      <c r="C20" s="71"/>
      <c r="D20" s="71"/>
      <c r="E20" s="71"/>
      <c r="F20" s="71"/>
      <c r="G20" s="71"/>
      <c r="H20" s="71"/>
      <c r="I20" s="71"/>
      <c r="J20" s="71"/>
      <c r="K20" s="71"/>
      <c r="L20" s="71"/>
      <c r="M20" s="5" t="str">
        <f>IF(ISBLANK(Overall!M20),"",Overall!M20)</f>
        <v/>
      </c>
      <c r="N20" s="5" t="str">
        <f>IF(ISBLANK(Overall!N20),"",Overall!N20)</f>
        <v/>
      </c>
      <c r="O20" s="71"/>
      <c r="P20" s="71"/>
      <c r="Q20" s="71"/>
      <c r="R20" s="71"/>
      <c r="S20" s="71"/>
      <c r="T20" s="71"/>
      <c r="U20" s="71"/>
      <c r="V20" s="5" t="str">
        <f>IF(ISBLANK(Overall!V20),"",Overall!V20)</f>
        <v/>
      </c>
      <c r="W20" s="71"/>
      <c r="X20" s="5" t="str">
        <f>IF(ISBLANK(Overall!X20),"",Overall!X20)</f>
        <v/>
      </c>
      <c r="Y20" s="71"/>
      <c r="Z20" s="71"/>
      <c r="AA20" s="71"/>
    </row>
    <row r="21" spans="1:27" s="1" customFormat="1" x14ac:dyDescent="0.25">
      <c r="A21" s="73"/>
      <c r="B21" s="71"/>
      <c r="C21" s="71"/>
      <c r="D21" s="71"/>
      <c r="E21" s="71"/>
      <c r="F21" s="71"/>
      <c r="G21" s="71"/>
      <c r="H21" s="71"/>
      <c r="I21" s="71"/>
      <c r="J21" s="71"/>
      <c r="K21" s="71"/>
      <c r="L21" s="71"/>
      <c r="M21" s="5" t="str">
        <f>IF(ISBLANK(Overall!M21),"",Overall!M21)</f>
        <v/>
      </c>
      <c r="N21" s="5" t="str">
        <f>IF(ISBLANK(Overall!N21),"",Overall!N21)</f>
        <v/>
      </c>
      <c r="O21" s="71"/>
      <c r="P21" s="71"/>
      <c r="Q21" s="71"/>
      <c r="R21" s="71"/>
      <c r="S21" s="71"/>
      <c r="T21" s="71"/>
      <c r="U21" s="71"/>
      <c r="V21" s="5" t="str">
        <f>IF(ISBLANK(Overall!V21),"",Overall!V21)</f>
        <v/>
      </c>
      <c r="W21" s="71"/>
      <c r="X21" s="5" t="str">
        <f>IF(ISBLANK(Overall!X21),"",Overall!X21)</f>
        <v/>
      </c>
      <c r="Y21" s="71"/>
      <c r="Z21" s="71"/>
      <c r="AA21" s="71"/>
    </row>
    <row r="22" spans="1:27" s="1" customFormat="1" x14ac:dyDescent="0.25">
      <c r="A22" s="73"/>
      <c r="B22" s="72"/>
      <c r="C22" s="72"/>
      <c r="D22" s="72"/>
      <c r="E22" s="72"/>
      <c r="F22" s="72"/>
      <c r="G22" s="72"/>
      <c r="H22" s="72"/>
      <c r="I22" s="72"/>
      <c r="J22" s="72"/>
      <c r="K22" s="72"/>
      <c r="L22" s="72"/>
      <c r="M22" s="5" t="str">
        <f>IF(ISBLANK(Overall!M22),"",Overall!M22)</f>
        <v/>
      </c>
      <c r="N22" s="5" t="str">
        <f>IF(ISBLANK(Overall!N22),"",Overall!N22)</f>
        <v/>
      </c>
      <c r="O22" s="72"/>
      <c r="P22" s="72"/>
      <c r="Q22" s="72"/>
      <c r="R22" s="72"/>
      <c r="S22" s="72"/>
      <c r="T22" s="72"/>
      <c r="U22" s="72"/>
      <c r="V22" s="5" t="str">
        <f>IF(ISBLANK(Overall!V22),"",Overall!V22)</f>
        <v/>
      </c>
      <c r="W22" s="72"/>
      <c r="X22" s="5" t="str">
        <f>IF(ISBLANK(Overall!X22),"",Overall!X22)</f>
        <v/>
      </c>
      <c r="Y22" s="72"/>
      <c r="Z22" s="72"/>
      <c r="AA22" s="72"/>
    </row>
    <row r="23" spans="1:27" x14ac:dyDescent="0.25">
      <c r="A23" s="9"/>
    </row>
    <row r="24" spans="1:27" x14ac:dyDescent="0.25">
      <c r="A24" s="5" t="str">
        <f>Overall!A32</f>
        <v>Eligible Persons</v>
      </c>
      <c r="B24" s="7">
        <f>IF(ISBLANK(Overall!B32),"",Overall!B32)</f>
        <v>6950</v>
      </c>
      <c r="C24" s="7" t="str">
        <f>IF(ISBLANK(Overall!C32),"",Overall!C32)</f>
        <v>n/a</v>
      </c>
      <c r="D24" s="7">
        <f>IF(ISBLANK(Overall!D32),"",Overall!D32)</f>
        <v>1520</v>
      </c>
      <c r="E24" s="7">
        <f>IF(ISBLANK(Overall!E32),"",Overall!E32)</f>
        <v>1063</v>
      </c>
      <c r="F24" s="7">
        <f>IF(ISBLANK(Overall!F32),"",Overall!F32)</f>
        <v>1806</v>
      </c>
      <c r="G24" s="7">
        <f>IF(ISBLANK(Overall!G32),"",Overall!G32)</f>
        <v>478</v>
      </c>
      <c r="H24" s="7">
        <f>IF(ISBLANK(Overall!H32),"",Overall!H32)</f>
        <v>607</v>
      </c>
      <c r="I24" s="7" t="str">
        <f>IF(ISBLANK(Overall!I32),"",Overall!I32)</f>
        <v>n/a</v>
      </c>
      <c r="J24" s="7" t="str">
        <f>IF(ISBLANK(Overall!J32),"",Overall!J32)</f>
        <v>n/a</v>
      </c>
      <c r="K24" s="7" t="str">
        <f>IF(ISBLANK(Overall!K32),"",Overall!K32)</f>
        <v>see C1/C2</v>
      </c>
      <c r="L24" s="7" t="str">
        <f>IF(ISBLANK(Overall!L32),"",Overall!L32)</f>
        <v>see C1/C2</v>
      </c>
      <c r="M24" s="7" t="str">
        <f>IF(ISBLANK(Overall!M32),"",Overall!M32)</f>
        <v>n/a</v>
      </c>
      <c r="N24" s="7" t="str">
        <f>IF(ISBLANK(Overall!N32),"",Overall!N32)</f>
        <v>n/a</v>
      </c>
      <c r="O24" s="7">
        <f>IF(ISBLANK(Overall!O32),"",Overall!O32)</f>
        <v>44</v>
      </c>
      <c r="P24" s="7" t="str">
        <f>IF(ISBLANK(Overall!P32),"",Overall!P32)</f>
        <v>n/a</v>
      </c>
      <c r="Q24" s="7" t="str">
        <f>IF(ISBLANK(Overall!Q32),"",Overall!Q32)</f>
        <v>n/a</v>
      </c>
      <c r="R24" s="7" t="str">
        <f>IF(ISBLANK(Overall!R32),"",Overall!R32)</f>
        <v>n/a</v>
      </c>
      <c r="S24" s="7">
        <f>IF(ISBLANK(Overall!S32),"",Overall!S32)</f>
        <v>275</v>
      </c>
      <c r="T24" s="7">
        <f>IF(ISBLANK(Overall!T32),"",Overall!T32)</f>
        <v>1270563</v>
      </c>
      <c r="U24" s="7" t="str">
        <f>IF(ISBLANK(Overall!U32),"",Overall!U32)</f>
        <v/>
      </c>
      <c r="V24" s="7">
        <f>IF(ISBLANK(Overall!V32),"",Overall!V32)</f>
        <v>530235</v>
      </c>
      <c r="W24" s="7">
        <f>IF(ISBLANK(Overall!W32),"",Overall!W32)</f>
        <v>163784</v>
      </c>
      <c r="X24" s="7">
        <f>IF(ISBLANK(Overall!X32),"",Overall!X32)</f>
        <v>505723</v>
      </c>
      <c r="Y24" s="7">
        <f>IF(ISBLANK(Overall!Y32),"",Overall!Y32)</f>
        <v>162531</v>
      </c>
      <c r="Z24" s="7">
        <f>IF(ISBLANK(Overall!Z32),"",Overall!Z32)</f>
        <v>0</v>
      </c>
      <c r="AA24" s="7">
        <f>IF(ISBLANK(Overall!AA32),"",Overall!AA32)</f>
        <v>0</v>
      </c>
    </row>
    <row r="25" spans="1:27" x14ac:dyDescent="0.25">
      <c r="A25" s="5" t="str">
        <f>Overall!A33</f>
        <v># Persons Served</v>
      </c>
      <c r="B25" s="7">
        <f>IF(ISBLANK(Overall!B33),"",Overall!B33)</f>
        <v>6950</v>
      </c>
      <c r="C25" s="7" t="str">
        <f>IF(ISBLANK(Overall!C33),"",Overall!C33)</f>
        <v>n/a</v>
      </c>
      <c r="D25" s="7">
        <f>IF(ISBLANK(Overall!D33),"",Overall!D33)</f>
        <v>1520</v>
      </c>
      <c r="E25" s="7">
        <f>IF(ISBLANK(Overall!E33),"",Overall!E33)</f>
        <v>1063</v>
      </c>
      <c r="F25" s="7">
        <f>IF(ISBLANK(Overall!F33),"",Overall!F33)</f>
        <v>1806</v>
      </c>
      <c r="G25" s="7">
        <f>IF(ISBLANK(Overall!G33),"",Overall!G33)</f>
        <v>478</v>
      </c>
      <c r="H25" s="7">
        <f>IF(ISBLANK(Overall!H33),"",Overall!H33)</f>
        <v>607</v>
      </c>
      <c r="I25" s="7" t="str">
        <f>IF(ISBLANK(Overall!I33),"",Overall!I33)</f>
        <v>n/a</v>
      </c>
      <c r="J25" s="7" t="str">
        <f>IF(ISBLANK(Overall!J33),"",Overall!J33)</f>
        <v>n/a</v>
      </c>
      <c r="K25" s="7" t="str">
        <f>IF(ISBLANK(Overall!K33),"",Overall!K33)</f>
        <v>see C1/C2</v>
      </c>
      <c r="L25" s="7" t="str">
        <f>IF(ISBLANK(Overall!L33),"",Overall!L33)</f>
        <v>see C1/C2</v>
      </c>
      <c r="M25" s="7" t="str">
        <f>IF(ISBLANK(Overall!M33),"",Overall!M33)</f>
        <v>n/a</v>
      </c>
      <c r="N25" s="7" t="str">
        <f>IF(ISBLANK(Overall!N33),"",Overall!N33)</f>
        <v>n/a</v>
      </c>
      <c r="O25" s="7">
        <f>IF(ISBLANK(Overall!O33),"",Overall!O33)</f>
        <v>44</v>
      </c>
      <c r="P25" s="7" t="str">
        <f>IF(ISBLANK(Overall!P33),"",Overall!P33)</f>
        <v>n/a</v>
      </c>
      <c r="Q25" s="7" t="str">
        <f>IF(ISBLANK(Overall!Q33),"",Overall!Q33)</f>
        <v>n/a</v>
      </c>
      <c r="R25" s="7" t="str">
        <f>IF(ISBLANK(Overall!R33),"",Overall!R33)</f>
        <v>n/a</v>
      </c>
      <c r="S25" s="7">
        <f>IF(ISBLANK(Overall!S33),"",Overall!S33)</f>
        <v>275</v>
      </c>
      <c r="T25" s="7">
        <f>IF(ISBLANK(Overall!T33),"",Overall!T33)</f>
        <v>1270563</v>
      </c>
      <c r="U25" s="7" t="str">
        <f>IF(ISBLANK(Overall!U33),"",Overall!U33)</f>
        <v/>
      </c>
      <c r="V25" s="7">
        <f>IF(ISBLANK(Overall!V33),"",Overall!V33)</f>
        <v>530235</v>
      </c>
      <c r="W25" s="7">
        <f>IF(ISBLANK(Overall!W33),"",Overall!W33)</f>
        <v>163784</v>
      </c>
      <c r="X25" s="7">
        <f>IF(ISBLANK(Overall!X33),"",Overall!X33)</f>
        <v>505723</v>
      </c>
      <c r="Y25" s="7">
        <f>IF(ISBLANK(Overall!Y33),"",Overall!Y33)</f>
        <v>162531</v>
      </c>
      <c r="Z25" s="7">
        <f>IF(ISBLANK(Overall!Z33),"",Overall!Z33)</f>
        <v>0</v>
      </c>
      <c r="AA25" s="7">
        <f>IF(ISBLANK(Overall!AA33),"",Overall!AA33)</f>
        <v>0</v>
      </c>
    </row>
    <row r="26" spans="1:27" x14ac:dyDescent="0.25">
      <c r="A26" s="5" t="str">
        <f>Overall!A34</f>
        <v># People on Waiting List</v>
      </c>
      <c r="B26" s="7">
        <f>IF(ISBLANK(Overall!B34),"",Overall!B34)</f>
        <v>0</v>
      </c>
      <c r="C26" s="7" t="str">
        <f>IF(ISBLANK(Overall!C34),"",Overall!C34)</f>
        <v>n/a</v>
      </c>
      <c r="D26" s="7">
        <f>IF(ISBLANK(Overall!D34),"",Overall!D34)</f>
        <v>0</v>
      </c>
      <c r="E26" s="7">
        <f>IF(ISBLANK(Overall!E34),"",Overall!E34)</f>
        <v>103</v>
      </c>
      <c r="F26" s="7">
        <f>IF(ISBLANK(Overall!F34),"",Overall!F34)</f>
        <v>103</v>
      </c>
      <c r="G26" s="7">
        <f>IF(ISBLANK(Overall!G34),"",Overall!G34)</f>
        <v>0</v>
      </c>
      <c r="H26" s="7">
        <f>IF(ISBLANK(Overall!H34),"",Overall!H34)</f>
        <v>0</v>
      </c>
      <c r="I26" s="7" t="str">
        <f>IF(ISBLANK(Overall!I34),"",Overall!I34)</f>
        <v>n/a</v>
      </c>
      <c r="J26" s="7" t="str">
        <f>IF(ISBLANK(Overall!J34),"",Overall!J34)</f>
        <v>n/a</v>
      </c>
      <c r="K26" s="7" t="str">
        <f>IF(ISBLANK(Overall!K34),"",Overall!K34)</f>
        <v>see C1/C2</v>
      </c>
      <c r="L26" s="7" t="str">
        <f>IF(ISBLANK(Overall!L34),"",Overall!L34)</f>
        <v>see C1/C2</v>
      </c>
      <c r="M26" s="7" t="str">
        <f>IF(ISBLANK(Overall!M34),"",Overall!M34)</f>
        <v>n/a</v>
      </c>
      <c r="N26" s="7" t="str">
        <f>IF(ISBLANK(Overall!N34),"",Overall!N34)</f>
        <v>n/a</v>
      </c>
      <c r="O26" s="7">
        <f>IF(ISBLANK(Overall!O34),"",Overall!O34)</f>
        <v>0</v>
      </c>
      <c r="P26" s="7" t="str">
        <f>IF(ISBLANK(Overall!P34),"",Overall!P34)</f>
        <v>n/a</v>
      </c>
      <c r="Q26" s="7" t="str">
        <f>IF(ISBLANK(Overall!Q34),"",Overall!Q34)</f>
        <v>n/a</v>
      </c>
      <c r="R26" s="7" t="str">
        <f>IF(ISBLANK(Overall!R34),"",Overall!R34)</f>
        <v>n/a</v>
      </c>
      <c r="S26" s="7">
        <f>IF(ISBLANK(Overall!S34),"",Overall!S34)</f>
        <v>228</v>
      </c>
      <c r="T26" s="7">
        <f>IF(ISBLANK(Overall!T34),"",Overall!T34)</f>
        <v>0</v>
      </c>
      <c r="U26" s="7" t="str">
        <f>IF(ISBLANK(Overall!U34),"",Overall!U34)</f>
        <v/>
      </c>
      <c r="V26" s="7">
        <f>IF(ISBLANK(Overall!V34),"",Overall!V34)</f>
        <v>0</v>
      </c>
      <c r="W26" s="7">
        <f>IF(ISBLANK(Overall!W34),"",Overall!W34)</f>
        <v>0</v>
      </c>
      <c r="X26" s="7">
        <f>IF(ISBLANK(Overall!X34),"",Overall!X34)</f>
        <v>0</v>
      </c>
      <c r="Y26" s="7">
        <f>IF(ISBLANK(Overall!Y34),"",Overall!Y34)</f>
        <v>0</v>
      </c>
      <c r="Z26" s="7">
        <f>IF(ISBLANK(Overall!Z34),"",Overall!Z34)</f>
        <v>0</v>
      </c>
      <c r="AA26" s="7">
        <f>IF(ISBLANK(Overall!AA34),"",Overall!AA34)</f>
        <v>0</v>
      </c>
    </row>
    <row r="28" spans="1:27" s="1" customFormat="1" ht="30" x14ac:dyDescent="0.25">
      <c r="A28" s="5" t="str">
        <f>Overall!A36</f>
        <v>Performance Measures</v>
      </c>
      <c r="B28" s="5" t="str">
        <f>IF(ISBLANK(Overall!B36),"",Overall!B36)</f>
        <v>as listed in MOA</v>
      </c>
      <c r="C28" s="5" t="str">
        <f>IF(ISBLANK(Overall!C36),"",Overall!C36)</f>
        <v>as listed in MOA</v>
      </c>
      <c r="D28" s="5" t="str">
        <f>IF(ISBLANK(Overall!D36),"",Overall!D36)</f>
        <v>as listed in MOA</v>
      </c>
      <c r="E28" s="5" t="str">
        <f>IF(ISBLANK(Overall!E36),"",Overall!E36)</f>
        <v>as listed in MOA</v>
      </c>
      <c r="F28" s="5" t="str">
        <f>IF(ISBLANK(Overall!F36),"",Overall!F36)</f>
        <v>as listed in MOA</v>
      </c>
      <c r="G28" s="5" t="str">
        <f>IF(ISBLANK(Overall!G36),"",Overall!G36)</f>
        <v>as listed in MOA</v>
      </c>
      <c r="H28" s="5" t="str">
        <f>IF(ISBLANK(Overall!H36),"",Overall!H36)</f>
        <v>as listed in MOA</v>
      </c>
      <c r="I28" s="5" t="str">
        <f>IF(ISBLANK(Overall!I36),"",Overall!I36)</f>
        <v>as listed in MOA</v>
      </c>
      <c r="J28" s="5" t="str">
        <f>IF(ISBLANK(Overall!J36),"",Overall!J36)</f>
        <v>as listed in MOA</v>
      </c>
      <c r="K28" s="5" t="str">
        <f>IF(ISBLANK(Overall!K36),"",Overall!K36)</f>
        <v>as listed in MOA</v>
      </c>
      <c r="L28" s="5" t="str">
        <f>IF(ISBLANK(Overall!L36),"",Overall!L36)</f>
        <v>as listed in MOA</v>
      </c>
      <c r="M28" s="5" t="str">
        <f>IF(ISBLANK(Overall!M36),"",Overall!M36)</f>
        <v>as listed in MOA</v>
      </c>
      <c r="N28" s="5" t="str">
        <f>IF(ISBLANK(Overall!N36),"",Overall!N36)</f>
        <v>as listed in MOA</v>
      </c>
      <c r="O28" s="5" t="str">
        <f>IF(ISBLANK(Overall!O36),"",Overall!O36)</f>
        <v>as listed in MOA</v>
      </c>
      <c r="P28" s="5" t="str">
        <f>IF(ISBLANK(Overall!P36),"",Overall!P36)</f>
        <v>as listed in MOA</v>
      </c>
      <c r="Q28" s="5" t="str">
        <f>IF(ISBLANK(Overall!Q36),"",Overall!Q36)</f>
        <v>as listed in MOA</v>
      </c>
      <c r="R28" s="5" t="str">
        <f>IF(ISBLANK(Overall!R36),"",Overall!R36)</f>
        <v>as listed in MOA</v>
      </c>
      <c r="S28" s="5" t="str">
        <f>IF(ISBLANK(Overall!S36),"",Overall!S36)</f>
        <v>as listed in MOA</v>
      </c>
      <c r="T28" s="5" t="str">
        <f>IF(ISBLANK(Overall!T36),"",Overall!T36)</f>
        <v>as listed in MOA</v>
      </c>
      <c r="U28" s="5" t="str">
        <f>IF(ISBLANK(Overall!U36),"",Overall!U36)</f>
        <v>as listed in MOA</v>
      </c>
      <c r="V28" s="5" t="str">
        <f>IF(ISBLANK(Overall!V36),"",Overall!V36)</f>
        <v>as listed in MOA</v>
      </c>
      <c r="W28" s="5" t="str">
        <f>IF(ISBLANK(Overall!W36),"",Overall!W36)</f>
        <v>as listed in MOA</v>
      </c>
      <c r="X28" s="5" t="str">
        <f>IF(ISBLANK(Overall!X36),"",Overall!X36)</f>
        <v>as listed in MOA</v>
      </c>
      <c r="Y28" s="5" t="str">
        <f>IF(ISBLANK(Overall!Y36),"",Overall!Y36)</f>
        <v>as listed in MOA</v>
      </c>
      <c r="Z28" s="5" t="str">
        <f>IF(ISBLANK(Overall!Z36),"",Overall!Z36)</f>
        <v>as listed in MOA</v>
      </c>
      <c r="AA28" s="5" t="str">
        <f>IF(ISBLANK(Overall!AA36),"",Overall!AA36)</f>
        <v>as listed in MOA</v>
      </c>
    </row>
  </sheetData>
  <mergeCells count="23">
    <mergeCell ref="F18:F22"/>
    <mergeCell ref="A18:A22"/>
    <mergeCell ref="B18:B22"/>
    <mergeCell ref="C18:C22"/>
    <mergeCell ref="D18:D22"/>
    <mergeCell ref="E18:E22"/>
    <mergeCell ref="G18:G22"/>
    <mergeCell ref="H18:H22"/>
    <mergeCell ref="I18:I22"/>
    <mergeCell ref="J18:J22"/>
    <mergeCell ref="K18:K22"/>
    <mergeCell ref="L18:L22"/>
    <mergeCell ref="O18:O22"/>
    <mergeCell ref="P18:P22"/>
    <mergeCell ref="Q18:Q22"/>
    <mergeCell ref="R18:R22"/>
    <mergeCell ref="S18:S22"/>
    <mergeCell ref="AA18:AA22"/>
    <mergeCell ref="Y18:Y22"/>
    <mergeCell ref="W18:W22"/>
    <mergeCell ref="U18:U22"/>
    <mergeCell ref="T18:T22"/>
    <mergeCell ref="Z18:Z22"/>
  </mergeCells>
  <pageMargins left="0.25" right="0.25" top="0.75" bottom="0.75" header="0.3" footer="0.3"/>
  <pageSetup scale="46" orientation="landscape" r:id="rId1"/>
  <headerFooter>
    <oddHeader>&amp;CBluegrass Area Development District
Department for Aging &amp; Independent Living Funds
FY 2020</oddHeader>
  </headerFooter>
  <colBreaks count="3" manualBreakCount="3">
    <brk id="8" max="1048575" man="1"/>
    <brk id="18" max="1048575" man="1"/>
    <brk id="29"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G37"/>
  <sheetViews>
    <sheetView topLeftCell="A28" zoomScaleNormal="100" workbookViewId="0">
      <selection activeCell="B33" sqref="B33"/>
    </sheetView>
  </sheetViews>
  <sheetFormatPr defaultColWidth="8.85546875" defaultRowHeight="15" x14ac:dyDescent="0.25"/>
  <cols>
    <col min="1" max="1" width="38.7109375" style="1" customWidth="1"/>
    <col min="2" max="5" width="26.28515625" customWidth="1"/>
    <col min="7" max="7" width="14.28515625" bestFit="1" customWidth="1"/>
  </cols>
  <sheetData>
    <row r="3" spans="1:7" s="11" customFormat="1" ht="30.75" customHeight="1" x14ac:dyDescent="0.25">
      <c r="A3" s="3"/>
      <c r="B3" s="3" t="str">
        <f>Overall!AT3</f>
        <v>WIOA Adult</v>
      </c>
      <c r="C3" s="3" t="str">
        <f>Overall!AU3</f>
        <v>WIOA Dislocated Worker</v>
      </c>
      <c r="D3" s="3" t="str">
        <f>Overall!AV3</f>
        <v>WIOA Youth</v>
      </c>
      <c r="E3" s="3" t="str">
        <f>Overall!AW3</f>
        <v>Trade</v>
      </c>
      <c r="G3" s="2" t="s">
        <v>143</v>
      </c>
    </row>
    <row r="4" spans="1:7" s="10" customFormat="1" x14ac:dyDescent="0.25">
      <c r="A4" s="22" t="str">
        <f>Overall!A4</f>
        <v>Grant Award</v>
      </c>
      <c r="B4" s="4">
        <f>IF(ISBLANK(Overall!AT4),"", Overall!AT4)</f>
        <v>1308874.31</v>
      </c>
      <c r="C4" s="4">
        <f>IF(ISBLANK(Overall!AU4),"", Overall!AU4)</f>
        <v>472018.43</v>
      </c>
      <c r="D4" s="4">
        <f>IF(ISBLANK(Overall!AV4),"", Overall!AV4)</f>
        <v>1069026.1599999999</v>
      </c>
      <c r="E4" s="4">
        <f>IF(ISBLANK(Overall!AW4),"", Overall!AW4)</f>
        <v>18706.509999999998</v>
      </c>
      <c r="G4" s="10">
        <f>SUM(B4:F4)</f>
        <v>2868625.4099999997</v>
      </c>
    </row>
    <row r="5" spans="1:7" s="10" customFormat="1" x14ac:dyDescent="0.25">
      <c r="A5" s="22" t="str">
        <f>Overall!A5</f>
        <v>Local Funds (Match or applied)</v>
      </c>
      <c r="B5" s="4">
        <f>IF(ISBLANK(Overall!AT5),"", Overall!AT5)</f>
        <v>0</v>
      </c>
      <c r="C5" s="4" t="str">
        <f>IF(ISBLANK(Overall!AU5),"", Overall!AU5)</f>
        <v/>
      </c>
      <c r="D5" s="4" t="str">
        <f>IF(ISBLANK(Overall!AV5),"", Overall!AV5)</f>
        <v/>
      </c>
      <c r="E5" s="4" t="str">
        <f>IF(ISBLANK(Overall!AW5),"", Overall!AW5)</f>
        <v/>
      </c>
      <c r="G5" s="10">
        <f t="shared" ref="G5:G13" si="0">SUM(B5:F5)</f>
        <v>0</v>
      </c>
    </row>
    <row r="6" spans="1:7" s="10" customFormat="1" x14ac:dyDescent="0.25">
      <c r="A6" s="22" t="str">
        <f>Overall!A6</f>
        <v>Total Grant Funds</v>
      </c>
      <c r="B6" s="4">
        <f>IF(ISBLANK(Overall!AT6),"", Overall!AT6)</f>
        <v>1308874.31</v>
      </c>
      <c r="C6" s="4">
        <f>IF(ISBLANK(Overall!AU6),"", Overall!AU6)</f>
        <v>472018.43</v>
      </c>
      <c r="D6" s="4">
        <f>IF(ISBLANK(Overall!AV6),"", Overall!AV6)</f>
        <v>1069026.1599999999</v>
      </c>
      <c r="E6" s="4">
        <f>IF(ISBLANK(Overall!AW6),"", Overall!AW6)</f>
        <v>18706.509999999998</v>
      </c>
      <c r="G6" s="10">
        <f t="shared" si="0"/>
        <v>2868625.4099999997</v>
      </c>
    </row>
    <row r="7" spans="1:7" s="10" customFormat="1" x14ac:dyDescent="0.25">
      <c r="A7" s="22" t="str">
        <f>Overall!A7</f>
        <v>Administrative Costs</v>
      </c>
      <c r="B7" s="4">
        <f>IF(ISBLANK(Overall!AT7),"", Overall!AT7)</f>
        <v>58861.61</v>
      </c>
      <c r="C7" s="4">
        <f>IF(ISBLANK(Overall!AU7),"", Overall!AU7)</f>
        <v>97107.75</v>
      </c>
      <c r="D7" s="4">
        <f>IF(ISBLANK(Overall!AV7),"", Overall!AV7)</f>
        <v>107713.90000000001</v>
      </c>
      <c r="E7" s="4" t="str">
        <f>IF(ISBLANK(Overall!AW7),"", Overall!AW7)</f>
        <v/>
      </c>
      <c r="G7" s="10">
        <f t="shared" si="0"/>
        <v>263683.26</v>
      </c>
    </row>
    <row r="8" spans="1:7" s="21" customFormat="1" x14ac:dyDescent="0.25">
      <c r="A8" s="22" t="str">
        <f>Overall!A8</f>
        <v>% of Admin Cost</v>
      </c>
      <c r="B8" s="24">
        <f>IF(ISBLANK(Overall!AT8),"", Overall!AT8)</f>
        <v>4.497117068483069E-2</v>
      </c>
      <c r="C8" s="24">
        <f>IF(ISBLANK(Overall!AU8),"", Overall!AU8)</f>
        <v>0.20572872546523235</v>
      </c>
      <c r="D8" s="24">
        <f>IF(ISBLANK(Overall!AV8),"", Overall!AV8)</f>
        <v>0.10075890004412991</v>
      </c>
      <c r="E8" s="24">
        <f>IF(ISBLANK(Overall!AW8),"", Overall!AW8)</f>
        <v>0</v>
      </c>
      <c r="G8" s="21">
        <f>G7/G6</f>
        <v>9.1919725413015865E-2</v>
      </c>
    </row>
    <row r="9" spans="1:7" s="10" customFormat="1" x14ac:dyDescent="0.25">
      <c r="A9" s="22" t="str">
        <f>Overall!A9</f>
        <v>Direct Expenditures</v>
      </c>
      <c r="B9" s="4">
        <f>IF(ISBLANK(Overall!AT9),"", Overall!AT9)</f>
        <v>1127986.51</v>
      </c>
      <c r="C9" s="4">
        <f>IF(ISBLANK(Overall!AU9),"", Overall!AU9)</f>
        <v>311766.41000000003</v>
      </c>
      <c r="D9" s="4">
        <f>IF(ISBLANK(Overall!AV9),"", Overall!AV9)</f>
        <v>840071.57</v>
      </c>
      <c r="E9" s="4">
        <f>IF(ISBLANK(Overall!AW9),"", Overall!AW9)</f>
        <v>18706.509999999998</v>
      </c>
      <c r="G9" s="10">
        <f t="shared" si="0"/>
        <v>2298530.9999999995</v>
      </c>
    </row>
    <row r="10" spans="1:7" s="21" customFormat="1" x14ac:dyDescent="0.25">
      <c r="A10" s="22" t="str">
        <f>Overall!A10</f>
        <v>% of Direct Expenditures</v>
      </c>
      <c r="B10" s="24">
        <f>IF(ISBLANK(Overall!AT10),"", Overall!AT10)</f>
        <v>0.86179895302552001</v>
      </c>
      <c r="C10" s="24">
        <f>IF(ISBLANK(Overall!AU10),"", Overall!AU10)</f>
        <v>0.66049626494457014</v>
      </c>
      <c r="D10" s="24">
        <f>IF(ISBLANK(Overall!AV10),"", Overall!AV10)</f>
        <v>0.78582882387087705</v>
      </c>
      <c r="E10" s="24">
        <f>IF(ISBLANK(Overall!AW10),"", Overall!AW10)</f>
        <v>1</v>
      </c>
      <c r="G10" s="21">
        <f>G9/G6</f>
        <v>0.80126564869269556</v>
      </c>
    </row>
    <row r="11" spans="1:7" s="10" customFormat="1" x14ac:dyDescent="0.25">
      <c r="A11" s="22" t="str">
        <f>Overall!A11</f>
        <v>Indirect Expenditures</v>
      </c>
      <c r="B11" s="4">
        <f>IF(ISBLANK(Overall!AT11),"", Overall!AT11)</f>
        <v>122026.19</v>
      </c>
      <c r="C11" s="4">
        <f>IF(ISBLANK(Overall!AU11),"", Overall!AU11)</f>
        <v>63144.27</v>
      </c>
      <c r="D11" s="4">
        <f>IF(ISBLANK(Overall!AV11),"", Overall!AV11)</f>
        <v>121240.69</v>
      </c>
      <c r="E11" s="4" t="str">
        <f>IF(ISBLANK(Overall!AW11),"", Overall!AW11)</f>
        <v/>
      </c>
      <c r="G11" s="10">
        <f t="shared" si="0"/>
        <v>306411.15000000002</v>
      </c>
    </row>
    <row r="12" spans="1:7" s="21" customFormat="1" x14ac:dyDescent="0.25">
      <c r="A12" s="22" t="str">
        <f>Overall!A12</f>
        <v>% of Indirect Expenditures</v>
      </c>
      <c r="B12" s="24">
        <f>IF(ISBLANK(Overall!AT12),"", Overall!AT12)</f>
        <v>9.3229876289649224E-2</v>
      </c>
      <c r="C12" s="24">
        <f>IF(ISBLANK(Overall!AU12),"", Overall!AU12)</f>
        <v>0.13377500959019756</v>
      </c>
      <c r="D12" s="24">
        <f>IF(ISBLANK(Overall!AV12),"", Overall!AV12)</f>
        <v>0.1134122760849931</v>
      </c>
      <c r="E12" s="24">
        <f>IF(ISBLANK(Overall!AW12),"", Overall!AW12)</f>
        <v>0</v>
      </c>
      <c r="G12" s="21">
        <f>G11/G6</f>
        <v>0.10681462589428853</v>
      </c>
    </row>
    <row r="13" spans="1:7" s="10" customFormat="1" x14ac:dyDescent="0.25">
      <c r="A13" s="22" t="str">
        <f>Overall!A13</f>
        <v>Unexpended Funds</v>
      </c>
      <c r="B13" s="4">
        <f>IF(ISBLANK(Overall!AT13),"", Overall!AT13)</f>
        <v>0</v>
      </c>
      <c r="C13" s="4">
        <f>IF(ISBLANK(Overall!AU13),"", Overall!AU13)</f>
        <v>0</v>
      </c>
      <c r="D13" s="4">
        <f>IF(ISBLANK(Overall!AV13),"", Overall!AV13)</f>
        <v>0</v>
      </c>
      <c r="E13" s="4">
        <f>IF(ISBLANK(Overall!AW13),"", Overall!AW13)</f>
        <v>0</v>
      </c>
      <c r="G13" s="10">
        <f t="shared" si="0"/>
        <v>0</v>
      </c>
    </row>
    <row r="14" spans="1:7" x14ac:dyDescent="0.25">
      <c r="A14" s="22" t="str">
        <f>Overall!A14</f>
        <v>Explanation of Unexpended Funds</v>
      </c>
      <c r="B14" s="3" t="str">
        <f>IF(ISBLANK(Overall!AT14),"", Overall!AT14)</f>
        <v>Multi-year Obligated Funds</v>
      </c>
      <c r="C14" s="3" t="str">
        <f>IF(ISBLANK(Overall!AU14),"", Overall!AU14)</f>
        <v>Multi-year Obligated Funds</v>
      </c>
      <c r="D14" s="3" t="str">
        <f>IF(ISBLANK(Overall!AV14),"", Overall!AV14)</f>
        <v>Multi-year Obligated Funds</v>
      </c>
      <c r="E14" s="3" t="str">
        <f>IF(ISBLANK(Overall!AW14),"", Overall!AW14)</f>
        <v>Multi-year Obligated Funds</v>
      </c>
    </row>
    <row r="15" spans="1:7" x14ac:dyDescent="0.25">
      <c r="B15" s="2"/>
      <c r="C15" s="2"/>
      <c r="D15" s="2"/>
      <c r="E15" s="2"/>
    </row>
    <row r="16" spans="1:7" ht="153.75" customHeight="1" x14ac:dyDescent="0.25">
      <c r="A16" s="33" t="str">
        <f>Overall!A16</f>
        <v>List of Direct Services provided by ADD</v>
      </c>
      <c r="B16" s="35" t="str">
        <f>IF(ISBLANK(Overall!AT16),"", Overall!AT16)</f>
        <v>Provide technical assistance, oversight and monitoring of the direct service provider in addition to accountability of funds, audit, financial reports, contracts, monitoring and management of the WIOA program.</v>
      </c>
      <c r="C16" s="35" t="str">
        <f>IF(ISBLANK(Overall!AU16),"", Overall!AU16)</f>
        <v>Provide technical assistance, oversight and monitoring of the direct service provider in addition to accountability of funds, audit, financial reports, contracts, monitoring and management of the WIOA program.</v>
      </c>
      <c r="D16" s="35" t="str">
        <f>IF(ISBLANK(Overall!AV16),"", Overall!AV16)</f>
        <v>Provide technical assistance, oversight and monitoring of the direct service provider in addition to accountability of funds, audit, financial reports, contracts, monitoring and management of the WIOA program.</v>
      </c>
      <c r="E16" s="35" t="str">
        <f>IF(ISBLANK(Overall!AW16),"", Overall!AW16)</f>
        <v>Provide technical assistance, oversight and monitoring of the direct service provider in addition to accountability of funds, audit, financial reports, contracts, monitoring and management of the WIOA program.</v>
      </c>
      <c r="G16" s="1"/>
    </row>
    <row r="17" spans="1:7" x14ac:dyDescent="0.25">
      <c r="B17" s="2"/>
      <c r="C17" s="2"/>
      <c r="D17" s="2"/>
      <c r="E17" s="2"/>
    </row>
    <row r="18" spans="1:7" x14ac:dyDescent="0.25">
      <c r="A18" s="73" t="str">
        <f>Overall!A18</f>
        <v>Direct Service Providers/Contractors Contracted by ADD and services provided</v>
      </c>
      <c r="B18" s="3" t="str">
        <f>IF(ISBLANK(Overall!AT18),"", Overall!AT18)</f>
        <v>Equus</v>
      </c>
      <c r="C18" s="3" t="str">
        <f>IF(ISBLANK(Overall!AU18),"", Overall!AU18)</f>
        <v>Equus</v>
      </c>
      <c r="D18" s="3" t="str">
        <f>IF(ISBLANK(Overall!AV18),"", Overall!AV18)</f>
        <v>Equus</v>
      </c>
      <c r="E18" s="3" t="str">
        <f>IF(ISBLANK(Overall!AW18),"", Overall!AW18)</f>
        <v>Equus</v>
      </c>
    </row>
    <row r="19" spans="1:7" ht="60" customHeight="1" x14ac:dyDescent="0.25">
      <c r="A19" s="73"/>
      <c r="B19" s="75" t="str">
        <f>IF(ISBLANK(Overall!AT19),"", Overall!AT19)</f>
        <v>Workforce services provided are Talent Development/ Career Planning &amp; Development Services, Employer Services, Rapid Response Services, Transitional Employment. These services help eligible clients prepare for, obtain and succeed in self-sustaining employement, and help area employers find, train and hire needed workers.</v>
      </c>
      <c r="C19" s="75" t="str">
        <f>IF(ISBLANK(Overall!AU19),"", Overall!AU19)</f>
        <v>Workforce services provided are Talent Development/ Career Planning &amp; Development Services, Employer Services, Rapid Response Services, Transitional Employment. These services help eligible clients prepare for, obtain and succeed in self-sustaining employement, and help area employers find, train and hire needed workers.</v>
      </c>
      <c r="D19" s="70" t="str">
        <f>IF(ISBLANK(Overall!AV19),"", Overall!AV19)</f>
        <v>Workforce services provided are Talent Development/ Career Planning &amp; Development Services, Employer Services, Rapid Response Services, Transitional Employment. These services help eligible clients prepare for, obtain and succeed in self-sustaining employement, and help area employers find, train and hire needed workers.</v>
      </c>
      <c r="E19" s="75" t="str">
        <f>IF(ISBLANK(Overall!AW19),"", Overall!AW19)</f>
        <v>Workforce services provided are Talent Development/ Career Planning &amp; Development Services, Employer Services, Rapid Response Services. These services help eligible clients prepare for, obtain and succeed in self-sustaining employement, and help area employers find, train and hire needed workers.</v>
      </c>
      <c r="G19" s="1"/>
    </row>
    <row r="20" spans="1:7" x14ac:dyDescent="0.25">
      <c r="A20" s="73"/>
      <c r="B20" s="76"/>
      <c r="C20" s="76"/>
      <c r="D20" s="71"/>
      <c r="E20" s="76"/>
      <c r="G20" s="1"/>
    </row>
    <row r="21" spans="1:7" x14ac:dyDescent="0.25">
      <c r="A21" s="73"/>
      <c r="B21" s="76"/>
      <c r="C21" s="76"/>
      <c r="D21" s="71"/>
      <c r="E21" s="76"/>
      <c r="G21" s="1"/>
    </row>
    <row r="22" spans="1:7" ht="15" customHeight="1" x14ac:dyDescent="0.25">
      <c r="A22" s="73"/>
      <c r="B22" s="76"/>
      <c r="C22" s="76"/>
      <c r="D22" s="71"/>
      <c r="E22" s="76"/>
      <c r="G22" s="1"/>
    </row>
    <row r="23" spans="1:7" ht="66.75" customHeight="1" x14ac:dyDescent="0.25">
      <c r="A23" s="73"/>
      <c r="B23" s="77"/>
      <c r="C23" s="77"/>
      <c r="D23" s="72"/>
      <c r="E23" s="77"/>
    </row>
    <row r="24" spans="1:7" x14ac:dyDescent="0.25">
      <c r="A24" s="9"/>
      <c r="B24" s="2"/>
      <c r="C24" s="2"/>
      <c r="D24" s="2"/>
      <c r="E24" s="2"/>
    </row>
    <row r="25" spans="1:7" x14ac:dyDescent="0.25">
      <c r="A25" s="5" t="str">
        <f>Overall!A24</f>
        <v>Career Center Operators</v>
      </c>
      <c r="B25" s="3" t="str">
        <f>IF(ISBLANK(Overall!AT24),"", Overall!AT24)</f>
        <v>Equus</v>
      </c>
      <c r="C25" s="3" t="str">
        <f>IF(ISBLANK(Overall!AU24),"", Overall!AU24)</f>
        <v>Equus</v>
      </c>
      <c r="D25" s="3" t="str">
        <f>IF(ISBLANK(Overall!AV24),"", Overall!AV24)</f>
        <v>Equus</v>
      </c>
      <c r="E25" s="3" t="str">
        <f>IF(ISBLANK(Overall!AW24),"", Overall!AW24)</f>
        <v>Equus</v>
      </c>
    </row>
    <row r="26" spans="1:7" ht="82.5" customHeight="1" x14ac:dyDescent="0.25">
      <c r="A26" s="9"/>
      <c r="B26" s="35" t="str">
        <f>IF(ISBLANK(Overall!AT25),"", Overall!AT25)</f>
        <v>Coordinates the services of one-stop network partners within the local Career Center System.</v>
      </c>
      <c r="C26" s="35" t="str">
        <f>IF(ISBLANK(Overall!AU25),"", Overall!AU25)</f>
        <v>Coordinates the services of one-stop network partners within the local Career Center System.</v>
      </c>
      <c r="D26" s="35" t="str">
        <f>IF(ISBLANK(Overall!AV25),"", Overall!AV25)</f>
        <v>Coordinates the services of one-stop network partners within the local Career Center System.</v>
      </c>
      <c r="E26" s="35" t="str">
        <f>IF(ISBLANK(Overall!AW25),"", Overall!AW25)</f>
        <v>Coordinates the services of one-stop network partners within the local Career Center System.</v>
      </c>
    </row>
    <row r="27" spans="1:7" ht="12.75" customHeight="1" x14ac:dyDescent="0.25">
      <c r="A27" s="73" t="str">
        <f>Overall!A26</f>
        <v>Training Service Providers and services provided</v>
      </c>
      <c r="B27" s="3" t="str">
        <f>IF(ISBLANK(Overall!AT26),"", Overall!AT26)</f>
        <v/>
      </c>
      <c r="C27" s="3" t="str">
        <f>IF(ISBLANK(Overall!AU26),"", Overall!AU26)</f>
        <v/>
      </c>
      <c r="D27" s="3" t="str">
        <f>IF(ISBLANK(Overall!AV26),"", Overall!AV26)</f>
        <v/>
      </c>
      <c r="E27" s="3" t="str">
        <f>IF(ISBLANK(Overall!AW26),"", Overall!AW26)</f>
        <v/>
      </c>
    </row>
    <row r="28" spans="1:7" ht="210.75" customHeight="1" x14ac:dyDescent="0.25">
      <c r="A28" s="73"/>
      <c r="B28" s="35" t="str">
        <f>IF(ISBLANK(Overall!AT27),"", Overall!AT27)</f>
        <v xml:space="preserve">Equips individuals to enter the workforce and retain employment. Occupational skills training is provided through Individual Training Accounts (ITAs). The training is provided by entities on the state-managed Eligible Traini+AT4ng Provider List (ETPL).  </v>
      </c>
      <c r="C28" s="35" t="str">
        <f>IF(ISBLANK(Overall!AU27),"", Overall!AU27)</f>
        <v xml:space="preserve">Equips individuals to enter the workforce and retain employment. Occupational skills training is provided through Individual Training Accounts (ITAs). The training is provided by entities on the state-managed Eligible Training Provider List (ETPL).  </v>
      </c>
      <c r="D28" s="35" t="str">
        <f>IF(ISBLANK(Overall!AV27),"", Overall!AV27)</f>
        <v xml:space="preserve">Equips individuals to enter the workforce and retain employment. Occupational skills training is provided through Individual Training Accounts (ITAs). The training is provided by entities on the state-managed Eligible Training Provider List (ETPL).  </v>
      </c>
      <c r="E28" s="35" t="str">
        <f>IF(ISBLANK(Overall!AW27),"", Overall!AW27)</f>
        <v xml:space="preserve">Equips individuals to enter the workforce and retain employment. Occupational skills training is provided through Individual Training Accounts (ITAs). The training is provided by entities on the state-managed Eligible Training Provider List (ETPL).  </v>
      </c>
      <c r="G28" s="1"/>
    </row>
    <row r="29" spans="1:7" ht="66" customHeight="1" x14ac:dyDescent="0.25">
      <c r="A29" s="73"/>
      <c r="B29" s="35" t="str">
        <f>IF(ISBLANK(Overall!AT28),"", Overall!AT28)</f>
        <v>On-the-Job Training (OJT) Contracts per worksite as executed with local area businesses.</v>
      </c>
      <c r="C29" s="35" t="str">
        <f>IF(ISBLANK(Overall!AU28),"", Overall!AU28)</f>
        <v>On-the-Job Training (OJT) Contracts per worksite as executed with local area businesses.</v>
      </c>
      <c r="D29" s="35" t="str">
        <f>IF(ISBLANK(Overall!AV28),"", Overall!AV28)</f>
        <v>On-the-Job Training (OJT) Contracts per worksite as executed with local area businesses.</v>
      </c>
      <c r="E29" s="3" t="str">
        <f>IF(ISBLANK(Overall!AW28),"", Overall!AW28)</f>
        <v/>
      </c>
    </row>
    <row r="30" spans="1:7" ht="82.15" customHeight="1" x14ac:dyDescent="0.25">
      <c r="A30" s="73"/>
      <c r="B30" s="3" t="str">
        <f>IF(ISBLANK(Overall!AT29),"", Overall!AT29)</f>
        <v>Internships/Work Experience - We provide a paid internship/work experience up to $6,000</v>
      </c>
      <c r="C30" s="3" t="str">
        <f>IF(ISBLANK(Overall!AU29),"", Overall!AU29)</f>
        <v>Internships/Work Experience - We provide a paid internship/work experience up to $6,000</v>
      </c>
      <c r="D30" s="3" t="str">
        <f>IF(ISBLANK(Overall!AV29),"", Overall!AV29)</f>
        <v>Internships/Work Experience - We provide a paid internship/work experience up to $6,000</v>
      </c>
      <c r="E30" s="3" t="str">
        <f>IF(ISBLANK(Overall!AW29),"", Overall!AW29)</f>
        <v>Internships/Work Experience - We provide a paid internship/work experience up to $6,000</v>
      </c>
    </row>
    <row r="31" spans="1:7" ht="12.75" customHeight="1" x14ac:dyDescent="0.25">
      <c r="A31" s="73"/>
      <c r="B31" s="3" t="str">
        <f>IF(ISBLANK(Overall!AT30),"", Overall!AT30)</f>
        <v/>
      </c>
      <c r="C31" s="3" t="str">
        <f>IF(ISBLANK(Overall!AU30),"", Overall!AU30)</f>
        <v/>
      </c>
      <c r="D31" s="3" t="str">
        <f>IF(ISBLANK(Overall!AV30),"", Overall!AV30)</f>
        <v/>
      </c>
      <c r="E31" s="3" t="str">
        <f>IF(ISBLANK(Overall!AW30),"", Overall!AW30)</f>
        <v/>
      </c>
    </row>
    <row r="32" spans="1:7" ht="12.75" customHeight="1" x14ac:dyDescent="0.25">
      <c r="A32" s="9"/>
      <c r="B32" s="2"/>
      <c r="C32" s="2"/>
      <c r="D32" s="2"/>
      <c r="E32" s="2"/>
    </row>
    <row r="33" spans="1:5" x14ac:dyDescent="0.25">
      <c r="A33" s="5" t="str">
        <f>Overall!A32</f>
        <v>Eligible Persons</v>
      </c>
      <c r="B33" s="3">
        <f>IF(ISBLANK(Overall!AT32),"", Overall!AT32)</f>
        <v>97</v>
      </c>
      <c r="C33" s="3">
        <f>IF(ISBLANK(Overall!AU32),"", Overall!AU32)</f>
        <v>31</v>
      </c>
      <c r="D33" s="3">
        <f>IF(ISBLANK(Overall!AV32),"", Overall!AV32)</f>
        <v>21</v>
      </c>
      <c r="E33" s="3">
        <f>IF(ISBLANK(Overall!AW32),"", Overall!AW32)</f>
        <v>1</v>
      </c>
    </row>
    <row r="34" spans="1:5" x14ac:dyDescent="0.25">
      <c r="A34" s="5" t="str">
        <f>Overall!A33</f>
        <v># Persons Served</v>
      </c>
      <c r="B34" s="3">
        <f>IF(ISBLANK(Overall!AT33),"", Overall!AT33)</f>
        <v>97</v>
      </c>
      <c r="C34" s="3">
        <f>IF(ISBLANK(Overall!AU33),"", Overall!AU33)</f>
        <v>31</v>
      </c>
      <c r="D34" s="3">
        <f>IF(ISBLANK(Overall!AV33),"", Overall!AV33)</f>
        <v>21</v>
      </c>
      <c r="E34" s="3">
        <f>IF(ISBLANK(Overall!AW33),"", Overall!AW33)</f>
        <v>1</v>
      </c>
    </row>
    <row r="35" spans="1:5" x14ac:dyDescent="0.25">
      <c r="A35" s="5" t="str">
        <f>Overall!A34</f>
        <v># People on Waiting List</v>
      </c>
      <c r="B35" s="3">
        <f>IF(ISBLANK(Overall!AT34),"", Overall!AT34)</f>
        <v>0</v>
      </c>
      <c r="C35" s="3">
        <f>IF(ISBLANK(Overall!AU34),"", Overall!AU34)</f>
        <v>0</v>
      </c>
      <c r="D35" s="3">
        <f>IF(ISBLANK(Overall!AV34),"", Overall!AV34)</f>
        <v>0</v>
      </c>
      <c r="E35" s="3">
        <f>IF(ISBLANK(Overall!AW34),"", Overall!AW34)</f>
        <v>0</v>
      </c>
    </row>
    <row r="36" spans="1:5" x14ac:dyDescent="0.25">
      <c r="B36" s="2"/>
      <c r="C36" s="2"/>
      <c r="D36" s="2"/>
      <c r="E36" s="2"/>
    </row>
    <row r="37" spans="1:5" ht="24" customHeight="1" x14ac:dyDescent="0.25">
      <c r="A37" s="7" t="str">
        <f>Overall!A36</f>
        <v>Performance Measures</v>
      </c>
      <c r="B37" s="3" t="str">
        <f>IF(ISBLANK(Overall!AT36),"", Overall!AT36)</f>
        <v>as listed in MOA</v>
      </c>
      <c r="C37" s="3" t="str">
        <f>IF(ISBLANK(Overall!AU36),"", Overall!AU36)</f>
        <v>as listed in MOA</v>
      </c>
      <c r="D37" s="3" t="str">
        <f>IF(ISBLANK(Overall!AV36),"", Overall!AV36)</f>
        <v>as listed in MOA</v>
      </c>
      <c r="E37" s="3" t="str">
        <f>IF(ISBLANK(Overall!AW36),"", Overall!AW36)</f>
        <v>as listed in MOA</v>
      </c>
    </row>
  </sheetData>
  <mergeCells count="6">
    <mergeCell ref="A18:A23"/>
    <mergeCell ref="A27:A31"/>
    <mergeCell ref="B19:B23"/>
    <mergeCell ref="C19:C23"/>
    <mergeCell ref="E19:E23"/>
    <mergeCell ref="D19:D23"/>
  </mergeCells>
  <pageMargins left="0.25" right="0.25" top="0.75" bottom="0.75" header="0.3" footer="0.3"/>
  <pageSetup scale="43" fitToWidth="0" orientation="landscape" r:id="rId1"/>
  <headerFooter>
    <oddHeader>&amp;CBluegrass Area Development District
Workforce Investment and Opportunity Act Funds
FY 2020</oddHead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3"/>
  <sheetViews>
    <sheetView tabSelected="1" view="pageLayout" zoomScaleNormal="100" workbookViewId="0">
      <selection activeCell="E3" sqref="E3"/>
    </sheetView>
  </sheetViews>
  <sheetFormatPr defaultColWidth="8.85546875" defaultRowHeight="15" x14ac:dyDescent="0.25"/>
  <cols>
    <col min="1" max="1" width="39.42578125" bestFit="1" customWidth="1"/>
    <col min="2" max="2" width="2.42578125" customWidth="1"/>
    <col min="3" max="3" width="14.28515625" bestFit="1" customWidth="1"/>
    <col min="4" max="4" width="2.42578125" customWidth="1"/>
    <col min="5" max="5" width="63.28515625" bestFit="1" customWidth="1"/>
    <col min="11" max="11" width="7.28515625" customWidth="1"/>
  </cols>
  <sheetData>
    <row r="1" spans="1:11" x14ac:dyDescent="0.25">
      <c r="A1" s="83" t="s">
        <v>89</v>
      </c>
      <c r="B1" s="83"/>
      <c r="C1" s="83"/>
      <c r="D1" s="83"/>
      <c r="E1" s="83"/>
    </row>
    <row r="3" spans="1:11" x14ac:dyDescent="0.25">
      <c r="A3" s="12" t="s">
        <v>176</v>
      </c>
      <c r="B3" s="12"/>
      <c r="C3" s="10"/>
      <c r="D3" s="10"/>
    </row>
    <row r="5" spans="1:11" x14ac:dyDescent="0.25">
      <c r="A5" s="12" t="s">
        <v>32</v>
      </c>
      <c r="B5" s="12"/>
      <c r="C5" s="12" t="s">
        <v>36</v>
      </c>
      <c r="D5" s="12"/>
      <c r="E5" s="12" t="s">
        <v>35</v>
      </c>
    </row>
    <row r="6" spans="1:11" ht="15" customHeight="1" x14ac:dyDescent="0.25">
      <c r="A6" s="7" t="s">
        <v>33</v>
      </c>
      <c r="B6" s="15"/>
      <c r="C6" s="17">
        <v>0</v>
      </c>
      <c r="D6" s="18"/>
      <c r="E6" s="82" t="s">
        <v>37</v>
      </c>
      <c r="F6" s="1"/>
      <c r="G6" s="1"/>
      <c r="H6" s="1"/>
      <c r="I6" s="1"/>
      <c r="J6" s="1"/>
      <c r="K6" s="1"/>
    </row>
    <row r="7" spans="1:11" x14ac:dyDescent="0.25">
      <c r="A7" s="7" t="s">
        <v>34</v>
      </c>
      <c r="B7" s="15"/>
      <c r="C7" s="17">
        <v>0</v>
      </c>
      <c r="D7" s="18"/>
      <c r="E7" s="82"/>
      <c r="F7" s="1"/>
      <c r="G7" s="1"/>
      <c r="H7" s="1"/>
      <c r="I7" s="1"/>
      <c r="J7" s="1"/>
      <c r="K7" s="1"/>
    </row>
    <row r="8" spans="1:11" ht="30" x14ac:dyDescent="0.25">
      <c r="A8" s="44" t="s">
        <v>101</v>
      </c>
      <c r="B8" s="15"/>
      <c r="C8" s="17">
        <v>74734.8</v>
      </c>
      <c r="D8" s="18"/>
      <c r="E8" s="3" t="s">
        <v>102</v>
      </c>
      <c r="F8" s="1"/>
      <c r="G8" s="1"/>
      <c r="H8" s="1"/>
      <c r="I8" s="1"/>
      <c r="J8" s="1"/>
      <c r="K8" s="1"/>
    </row>
    <row r="9" spans="1:11" x14ac:dyDescent="0.25">
      <c r="A9" s="84" t="s">
        <v>38</v>
      </c>
      <c r="B9" s="15"/>
      <c r="C9" s="17"/>
      <c r="D9" s="18"/>
      <c r="E9" s="82" t="s">
        <v>39</v>
      </c>
    </row>
    <row r="10" spans="1:11" x14ac:dyDescent="0.25">
      <c r="A10" s="84"/>
      <c r="B10" s="15"/>
      <c r="C10" s="17">
        <v>0</v>
      </c>
      <c r="D10" s="18"/>
      <c r="E10" s="82"/>
    </row>
    <row r="11" spans="1:11" ht="45" x14ac:dyDescent="0.25">
      <c r="A11" s="44" t="s">
        <v>146</v>
      </c>
      <c r="B11" s="16"/>
      <c r="C11" s="6">
        <v>0</v>
      </c>
      <c r="D11" s="19"/>
      <c r="E11" s="3" t="s">
        <v>52</v>
      </c>
    </row>
    <row r="12" spans="1:11" ht="15.75" thickBot="1" x14ac:dyDescent="0.3">
      <c r="C12" s="14">
        <f>SUM(C6:C11)</f>
        <v>74734.8</v>
      </c>
      <c r="D12" s="13"/>
    </row>
    <row r="13" spans="1:11" ht="15.75" thickTop="1" x14ac:dyDescent="0.25"/>
  </sheetData>
  <mergeCells count="4">
    <mergeCell ref="E6:E7"/>
    <mergeCell ref="E9:E10"/>
    <mergeCell ref="A1:E1"/>
    <mergeCell ref="A9:A10"/>
  </mergeCells>
  <pageMargins left="0.7" right="0.7" top="0.75" bottom="0.75" header="0.3" footer="0.3"/>
  <pageSetup fitToHeight="0" orientation="landscape" verticalDpi="4294967295"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0"/>
  <sheetViews>
    <sheetView zoomScaleNormal="100" workbookViewId="0">
      <selection activeCell="H31" sqref="H31"/>
    </sheetView>
  </sheetViews>
  <sheetFormatPr defaultColWidth="8.85546875" defaultRowHeight="15" x14ac:dyDescent="0.25"/>
  <cols>
    <col min="1" max="1" width="12.140625" customWidth="1"/>
  </cols>
  <sheetData>
    <row r="1" spans="1:10" ht="18.75" x14ac:dyDescent="0.3">
      <c r="A1" s="85" t="s">
        <v>89</v>
      </c>
      <c r="B1" s="85"/>
      <c r="C1" s="85"/>
      <c r="D1" s="85"/>
      <c r="E1" s="85"/>
      <c r="F1" s="85"/>
      <c r="G1" s="85"/>
      <c r="H1" s="85"/>
      <c r="I1" s="85"/>
      <c r="J1" s="85"/>
    </row>
    <row r="2" spans="1:10" ht="18.75" x14ac:dyDescent="0.3">
      <c r="A2" s="85" t="s">
        <v>54</v>
      </c>
      <c r="B2" s="85"/>
      <c r="C2" s="85"/>
      <c r="D2" s="85"/>
      <c r="E2" s="85"/>
      <c r="F2" s="85"/>
      <c r="G2" s="85"/>
      <c r="H2" s="85"/>
      <c r="I2" s="85"/>
      <c r="J2" s="85"/>
    </row>
    <row r="4" spans="1:10" x14ac:dyDescent="0.25">
      <c r="A4" t="s">
        <v>12</v>
      </c>
      <c r="B4" t="s">
        <v>55</v>
      </c>
    </row>
    <row r="5" spans="1:10" x14ac:dyDescent="0.25">
      <c r="A5" t="s">
        <v>13</v>
      </c>
      <c r="B5" t="s">
        <v>56</v>
      </c>
    </row>
    <row r="6" spans="1:10" x14ac:dyDescent="0.25">
      <c r="A6" t="s">
        <v>14</v>
      </c>
      <c r="B6" t="s">
        <v>57</v>
      </c>
    </row>
    <row r="7" spans="1:10" x14ac:dyDescent="0.25">
      <c r="A7" t="s">
        <v>58</v>
      </c>
      <c r="B7" t="s">
        <v>59</v>
      </c>
    </row>
    <row r="8" spans="1:10" x14ac:dyDescent="0.25">
      <c r="A8" t="s">
        <v>15</v>
      </c>
      <c r="B8" t="s">
        <v>60</v>
      </c>
    </row>
    <row r="9" spans="1:10" x14ac:dyDescent="0.25">
      <c r="A9" t="s">
        <v>61</v>
      </c>
      <c r="B9" t="s">
        <v>62</v>
      </c>
    </row>
    <row r="10" spans="1:10" x14ac:dyDescent="0.25">
      <c r="A10" t="s">
        <v>19</v>
      </c>
      <c r="B10" t="s">
        <v>63</v>
      </c>
    </row>
    <row r="11" spans="1:10" x14ac:dyDescent="0.25">
      <c r="A11" t="s">
        <v>20</v>
      </c>
      <c r="B11" t="s">
        <v>64</v>
      </c>
    </row>
    <row r="12" spans="1:10" x14ac:dyDescent="0.25">
      <c r="A12" t="s">
        <v>22</v>
      </c>
      <c r="B12" t="s">
        <v>65</v>
      </c>
    </row>
    <row r="13" spans="1:10" x14ac:dyDescent="0.25">
      <c r="A13" t="s">
        <v>25</v>
      </c>
      <c r="B13" t="s">
        <v>66</v>
      </c>
    </row>
    <row r="14" spans="1:10" x14ac:dyDescent="0.25">
      <c r="A14" t="s">
        <v>67</v>
      </c>
      <c r="B14" t="s">
        <v>68</v>
      </c>
    </row>
    <row r="15" spans="1:10" x14ac:dyDescent="0.25">
      <c r="A15" t="s">
        <v>69</v>
      </c>
      <c r="B15" t="s">
        <v>70</v>
      </c>
    </row>
    <row r="16" spans="1:10" x14ac:dyDescent="0.25">
      <c r="A16" t="s">
        <v>71</v>
      </c>
      <c r="B16" t="s">
        <v>72</v>
      </c>
    </row>
    <row r="17" spans="1:2" x14ac:dyDescent="0.25">
      <c r="A17" t="s">
        <v>83</v>
      </c>
      <c r="B17" t="s">
        <v>84</v>
      </c>
    </row>
    <row r="18" spans="1:2" x14ac:dyDescent="0.25">
      <c r="A18" t="s">
        <v>87</v>
      </c>
      <c r="B18" t="s">
        <v>85</v>
      </c>
    </row>
    <row r="19" spans="1:2" x14ac:dyDescent="0.25">
      <c r="A19" t="s">
        <v>88</v>
      </c>
      <c r="B19" t="s">
        <v>86</v>
      </c>
    </row>
    <row r="20" spans="1:2" x14ac:dyDescent="0.25">
      <c r="A20" t="s">
        <v>103</v>
      </c>
      <c r="B20" t="s">
        <v>104</v>
      </c>
    </row>
    <row r="21" spans="1:2" x14ac:dyDescent="0.25">
      <c r="A21" t="s">
        <v>73</v>
      </c>
      <c r="B21" t="s">
        <v>74</v>
      </c>
    </row>
    <row r="22" spans="1:2" x14ac:dyDescent="0.25">
      <c r="A22" t="s">
        <v>75</v>
      </c>
      <c r="B22" t="s">
        <v>76</v>
      </c>
    </row>
    <row r="23" spans="1:2" x14ac:dyDescent="0.25">
      <c r="A23" t="s">
        <v>109</v>
      </c>
      <c r="B23" t="s">
        <v>110</v>
      </c>
    </row>
    <row r="24" spans="1:2" x14ac:dyDescent="0.25">
      <c r="A24" t="s">
        <v>99</v>
      </c>
      <c r="B24" t="s">
        <v>100</v>
      </c>
    </row>
    <row r="25" spans="1:2" x14ac:dyDescent="0.25">
      <c r="A25" t="s">
        <v>77</v>
      </c>
      <c r="B25" t="s">
        <v>78</v>
      </c>
    </row>
    <row r="26" spans="1:2" x14ac:dyDescent="0.25">
      <c r="A26" t="s">
        <v>150</v>
      </c>
      <c r="B26" t="s">
        <v>151</v>
      </c>
    </row>
    <row r="27" spans="1:2" x14ac:dyDescent="0.25">
      <c r="A27" t="s">
        <v>79</v>
      </c>
      <c r="B27" t="s">
        <v>80</v>
      </c>
    </row>
    <row r="28" spans="1:2" x14ac:dyDescent="0.25">
      <c r="A28" t="s">
        <v>81</v>
      </c>
      <c r="B28" t="s">
        <v>82</v>
      </c>
    </row>
    <row r="29" spans="1:2" x14ac:dyDescent="0.25">
      <c r="A29" t="s">
        <v>105</v>
      </c>
      <c r="B29" t="s">
        <v>106</v>
      </c>
    </row>
    <row r="30" spans="1:2" x14ac:dyDescent="0.25">
      <c r="A30" t="s">
        <v>121</v>
      </c>
      <c r="B30" t="s">
        <v>122</v>
      </c>
    </row>
  </sheetData>
  <mergeCells count="2">
    <mergeCell ref="A1:J1"/>
    <mergeCell ref="A2:J2"/>
  </mergeCells>
  <pageMargins left="0.7" right="0.7" top="0.75" bottom="0.75" header="0.3" footer="0.3"/>
  <pageSetup scale="76" orientation="portrait" horizontalDpi="4294967295" verticalDpi="4294967295"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85DD2D731B5147A0847E5E2A4C0DBC" ma:contentTypeVersion="13" ma:contentTypeDescription="Create a new document." ma:contentTypeScope="" ma:versionID="249ea9fcc737aa37fe63e3820e34f947">
  <xsd:schema xmlns:xsd="http://www.w3.org/2001/XMLSchema" xmlns:xs="http://www.w3.org/2001/XMLSchema" xmlns:p="http://schemas.microsoft.com/office/2006/metadata/properties" xmlns:ns1="http://schemas.microsoft.com/sharepoint/v3" xmlns:ns2="3dbb3de5-7544-40d5-9548-dda769c6bd77" targetNamespace="http://schemas.microsoft.com/office/2006/metadata/properties" ma:root="true" ma:fieldsID="2f44fb660c08ebe7fdcf8202267238f0" ns1:_="" ns2:_="">
    <xsd:import namespace="http://schemas.microsoft.com/sharepoint/v3"/>
    <xsd:import namespace="3dbb3de5-7544-40d5-9548-dda769c6bd7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bb3de5-7544-40d5-9548-dda769c6bd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5abde63-9ca5-42f0-a7d0-9c841999a6c7"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dbb3de5-7544-40d5-9548-dda769c6bd7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22E563-220D-4CA6-BF16-F4607CE72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dbb3de5-7544-40d5-9548-dda769c6b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4003C9-67ED-44BC-BEED-DABB7040D532}">
  <ds:schemaRefs>
    <ds:schemaRef ds:uri="http://schemas.microsoft.com/office/2006/metadata/properties"/>
    <ds:schemaRef ds:uri="http://schemas.microsoft.com/office/infopath/2007/PartnerControls"/>
    <ds:schemaRef ds:uri="http://schemas.microsoft.com/sharepoint/v3"/>
    <ds:schemaRef ds:uri="3dbb3de5-7544-40d5-9548-dda769c6bd77"/>
  </ds:schemaRefs>
</ds:datastoreItem>
</file>

<file path=customXml/itemProps3.xml><?xml version="1.0" encoding="utf-8"?>
<ds:datastoreItem xmlns:ds="http://schemas.openxmlformats.org/officeDocument/2006/customXml" ds:itemID="{4DFA9AFD-CB14-4F31-80F5-5C0F76EC50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Overall</vt:lpstr>
      <vt:lpstr>Aging</vt:lpstr>
      <vt:lpstr>Workforce</vt:lpstr>
      <vt:lpstr>Carryover (Reserves)</vt:lpstr>
      <vt:lpstr>Glossary</vt:lpstr>
      <vt:lpstr>Aging!Print_Area</vt:lpstr>
      <vt:lpstr>Glossary!Print_Area</vt:lpstr>
      <vt:lpstr>Overall!Print_Area</vt:lpstr>
      <vt:lpstr>Aging!Print_Titles</vt:lpstr>
      <vt:lpstr>Overall!Print_Titles</vt:lpstr>
      <vt:lpstr>Workforce!Print_Titles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Alisha</dc:creator>
  <cp:lastModifiedBy>Michael Buschmann</cp:lastModifiedBy>
  <cp:lastPrinted>2020-12-29T19:15:40Z</cp:lastPrinted>
  <dcterms:created xsi:type="dcterms:W3CDTF">2017-11-26T03:23:39Z</dcterms:created>
  <dcterms:modified xsi:type="dcterms:W3CDTF">2025-12-30T20:00:25Z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0x010100F385DD2D731B5147A0847E5E2A4C0DBC</vt:lpwstr>
  </property>
  <property fmtid="{D5CDD505-2E9C-101B-9397-08002B2CF9AE}" pid="3" name="MediaServiceImageTags">
    <vt:lpwstr/>
  </property>
</Properties>
</file>